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D03" lockStructure="1"/>
  <bookViews>
    <workbookView xWindow="240" yWindow="420" windowWidth="14805" windowHeight="7695" firstSheet="1" activeTab="1"/>
  </bookViews>
  <sheets>
    <sheet name="計算欄" sheetId="22" state="hidden" r:id="rId1"/>
    <sheet name="入力欄" sheetId="24" r:id="rId2"/>
    <sheet name="Sheet1" sheetId="25" state="hidden" r:id="rId3"/>
  </sheets>
  <definedNames>
    <definedName name="_xlnm.Print_Area" localSheetId="0">計算欄!$A$1:$T$85</definedName>
    <definedName name="_xlnm.Print_Area" localSheetId="1">入力欄!$A$1:$J$29</definedName>
  </definedNames>
  <calcPr calcId="145621"/>
</workbook>
</file>

<file path=xl/calcChain.xml><?xml version="1.0" encoding="utf-8"?>
<calcChain xmlns="http://schemas.openxmlformats.org/spreadsheetml/2006/main">
  <c r="K39" i="22" l="1"/>
  <c r="K9" i="22"/>
  <c r="M2" i="22" l="1"/>
  <c r="B67" i="22" l="1"/>
  <c r="C67" i="22"/>
  <c r="D67" i="22"/>
  <c r="M4" i="22" l="1"/>
  <c r="M5" i="22"/>
  <c r="M6" i="22"/>
  <c r="M7" i="22"/>
  <c r="L41" i="22" l="1"/>
  <c r="L65" i="22"/>
  <c r="K65" i="22"/>
  <c r="J65" i="22"/>
  <c r="I65" i="22"/>
  <c r="H65" i="22"/>
  <c r="G65" i="22"/>
  <c r="F65" i="22"/>
  <c r="E65" i="22"/>
  <c r="D65" i="22"/>
  <c r="C65" i="22"/>
  <c r="B65" i="22"/>
  <c r="L64" i="22"/>
  <c r="K64" i="22"/>
  <c r="J64" i="22"/>
  <c r="I64" i="22"/>
  <c r="H64" i="22"/>
  <c r="G64" i="22"/>
  <c r="F64" i="22"/>
  <c r="E64" i="22"/>
  <c r="D64" i="22"/>
  <c r="C64" i="22"/>
  <c r="B64" i="22"/>
  <c r="L62" i="22"/>
  <c r="K62" i="22"/>
  <c r="J62" i="22"/>
  <c r="I62" i="22"/>
  <c r="H62" i="22"/>
  <c r="G62" i="22"/>
  <c r="F62" i="22"/>
  <c r="E62" i="22"/>
  <c r="D62" i="22"/>
  <c r="C62" i="22"/>
  <c r="B62" i="22"/>
  <c r="L57" i="22"/>
  <c r="K57" i="22"/>
  <c r="K58" i="22" s="1"/>
  <c r="K59" i="22" s="1"/>
  <c r="K68" i="22" s="1"/>
  <c r="J57" i="22"/>
  <c r="J61" i="22" s="1"/>
  <c r="I57" i="22"/>
  <c r="H57" i="22"/>
  <c r="G57" i="22"/>
  <c r="G58" i="22" s="1"/>
  <c r="F57" i="22"/>
  <c r="F61" i="22" s="1"/>
  <c r="E57" i="22"/>
  <c r="D57" i="22"/>
  <c r="C57" i="22"/>
  <c r="C58" i="22" s="1"/>
  <c r="C59" i="22" s="1"/>
  <c r="C63" i="22" s="1"/>
  <c r="B57" i="22"/>
  <c r="B61" i="22" s="1"/>
  <c r="L40" i="22"/>
  <c r="D40" i="22"/>
  <c r="C40" i="22"/>
  <c r="B40" i="22"/>
  <c r="L21" i="22"/>
  <c r="K21" i="22"/>
  <c r="J21" i="22"/>
  <c r="I21" i="22"/>
  <c r="H21" i="22"/>
  <c r="G21" i="22"/>
  <c r="F21" i="22"/>
  <c r="E21" i="22"/>
  <c r="D21" i="22"/>
  <c r="C21" i="22"/>
  <c r="B21" i="22"/>
  <c r="L20" i="22"/>
  <c r="K20" i="22"/>
  <c r="J20" i="22"/>
  <c r="I20" i="22"/>
  <c r="H20" i="22"/>
  <c r="G20" i="22"/>
  <c r="F20" i="22"/>
  <c r="E20" i="22"/>
  <c r="D20" i="22"/>
  <c r="C20" i="22"/>
  <c r="B20" i="22"/>
  <c r="L18" i="22"/>
  <c r="K18" i="22"/>
  <c r="J18" i="22"/>
  <c r="I18" i="22"/>
  <c r="H18" i="22"/>
  <c r="G18" i="22"/>
  <c r="F18" i="22"/>
  <c r="E18" i="22"/>
  <c r="D18" i="22"/>
  <c r="C18" i="22"/>
  <c r="B18" i="22"/>
  <c r="L17" i="22"/>
  <c r="K17" i="22"/>
  <c r="J17" i="22"/>
  <c r="I17" i="22"/>
  <c r="H17" i="22"/>
  <c r="G17" i="22"/>
  <c r="F17" i="22"/>
  <c r="E17" i="22"/>
  <c r="D17" i="22"/>
  <c r="C17" i="22"/>
  <c r="B17" i="22"/>
  <c r="L14" i="22"/>
  <c r="K14" i="22"/>
  <c r="J14" i="22"/>
  <c r="I14" i="22"/>
  <c r="H14" i="22"/>
  <c r="G14" i="22"/>
  <c r="F14" i="22"/>
  <c r="E14" i="22"/>
  <c r="D14" i="22"/>
  <c r="C14" i="22"/>
  <c r="B14" i="22"/>
  <c r="L12" i="22"/>
  <c r="K12" i="22"/>
  <c r="J12" i="22"/>
  <c r="I12" i="22"/>
  <c r="H12" i="22"/>
  <c r="G12" i="22"/>
  <c r="F12" i="22"/>
  <c r="E12" i="22"/>
  <c r="D12" i="22"/>
  <c r="C12" i="22"/>
  <c r="B12" i="22"/>
  <c r="L10" i="22"/>
  <c r="L11" i="22" s="1"/>
  <c r="K10" i="22"/>
  <c r="K11" i="22" s="1"/>
  <c r="K41" i="22" s="1"/>
  <c r="J10" i="22"/>
  <c r="J11" i="22" s="1"/>
  <c r="J41" i="22" s="1"/>
  <c r="I10" i="22"/>
  <c r="I11" i="22" s="1"/>
  <c r="I41" i="22" s="1"/>
  <c r="H10" i="22"/>
  <c r="H11" i="22" s="1"/>
  <c r="H41" i="22" s="1"/>
  <c r="G10" i="22"/>
  <c r="G11" i="22" s="1"/>
  <c r="G41" i="22" s="1"/>
  <c r="F10" i="22"/>
  <c r="F11" i="22" s="1"/>
  <c r="F41" i="22" s="1"/>
  <c r="E10" i="22"/>
  <c r="E11" i="22" s="1"/>
  <c r="D10" i="22"/>
  <c r="D11" i="22" s="1"/>
  <c r="C10" i="22"/>
  <c r="C11" i="22" s="1"/>
  <c r="B10" i="22"/>
  <c r="B11" i="22" s="1"/>
  <c r="K7" i="22"/>
  <c r="W6" i="22"/>
  <c r="V6" i="22"/>
  <c r="K6" i="22"/>
  <c r="K5" i="22"/>
  <c r="W4" i="22"/>
  <c r="V4" i="22"/>
  <c r="K4" i="22"/>
  <c r="V2" i="22"/>
  <c r="E41" i="22" l="1"/>
  <c r="E19" i="22"/>
  <c r="L43" i="22"/>
  <c r="B58" i="22"/>
  <c r="B59" i="22" s="1"/>
  <c r="B63" i="22" s="1"/>
  <c r="B66" i="22" s="1"/>
  <c r="B69" i="22" s="1"/>
  <c r="B46" i="22" s="1"/>
  <c r="C61" i="22"/>
  <c r="C66" i="22" s="1"/>
  <c r="C69" i="22" s="1"/>
  <c r="C46" i="22" s="1"/>
  <c r="K63" i="22"/>
  <c r="G59" i="22"/>
  <c r="G68" i="22" s="1"/>
  <c r="K61" i="22"/>
  <c r="G15" i="22"/>
  <c r="K13" i="22"/>
  <c r="F58" i="22"/>
  <c r="F59" i="22" s="1"/>
  <c r="F68" i="22" s="1"/>
  <c r="J58" i="22"/>
  <c r="J59" i="22" s="1"/>
  <c r="J68" i="22" s="1"/>
  <c r="G61" i="22"/>
  <c r="C15" i="22"/>
  <c r="D19" i="22"/>
  <c r="D22" i="22" s="1"/>
  <c r="D24" i="22" s="1"/>
  <c r="D15" i="22"/>
  <c r="D13" i="22"/>
  <c r="D33" i="22" s="1"/>
  <c r="H19" i="22"/>
  <c r="H22" i="22" s="1"/>
  <c r="H24" i="22" s="1"/>
  <c r="H15" i="22"/>
  <c r="H13" i="22"/>
  <c r="L19" i="22"/>
  <c r="L22" i="22" s="1"/>
  <c r="L24" i="22" s="1"/>
  <c r="L15" i="22"/>
  <c r="L13" i="22"/>
  <c r="E15" i="22"/>
  <c r="E13" i="22"/>
  <c r="E22" i="22"/>
  <c r="E24" i="22" s="1"/>
  <c r="I15" i="22"/>
  <c r="I13" i="22"/>
  <c r="I19" i="22"/>
  <c r="I22" i="22" s="1"/>
  <c r="I24" i="22" s="1"/>
  <c r="B13" i="22"/>
  <c r="D58" i="22"/>
  <c r="D59" i="22" s="1"/>
  <c r="H58" i="22"/>
  <c r="H59" i="22" s="1"/>
  <c r="H68" i="22" s="1"/>
  <c r="H61" i="22"/>
  <c r="L58" i="22"/>
  <c r="L59" i="22" s="1"/>
  <c r="L27" i="22" s="1"/>
  <c r="D61" i="22"/>
  <c r="G19" i="22"/>
  <c r="G22" i="22" s="1"/>
  <c r="G24" i="22" s="1"/>
  <c r="K27" i="22"/>
  <c r="K19" i="22"/>
  <c r="K22" i="22" s="1"/>
  <c r="K24" i="22" s="1"/>
  <c r="G13" i="22"/>
  <c r="J19" i="22"/>
  <c r="J22" i="22" s="1"/>
  <c r="J24" i="22" s="1"/>
  <c r="E61" i="22"/>
  <c r="E58" i="22"/>
  <c r="E59" i="22" s="1"/>
  <c r="E68" i="22" s="1"/>
  <c r="I61" i="22"/>
  <c r="C13" i="22"/>
  <c r="K15" i="22"/>
  <c r="F13" i="22"/>
  <c r="J13" i="22"/>
  <c r="C27" i="22"/>
  <c r="C19" i="22"/>
  <c r="C22" i="22" s="1"/>
  <c r="C24" i="22" s="1"/>
  <c r="B15" i="22"/>
  <c r="J15" i="22"/>
  <c r="B19" i="22"/>
  <c r="B22" i="22" s="1"/>
  <c r="B24" i="22" s="1"/>
  <c r="F15" i="22"/>
  <c r="F19" i="22"/>
  <c r="F22" i="22" s="1"/>
  <c r="F24" i="22" s="1"/>
  <c r="I58" i="22"/>
  <c r="I59" i="22" s="1"/>
  <c r="I68" i="22" s="1"/>
  <c r="L61" i="22"/>
  <c r="G63" i="22" l="1"/>
  <c r="G66" i="22" s="1"/>
  <c r="G69" i="22" s="1"/>
  <c r="G71" i="22" s="1"/>
  <c r="G27" i="22"/>
  <c r="G28" i="22" s="1"/>
  <c r="B27" i="22"/>
  <c r="B29" i="22" s="1"/>
  <c r="K66" i="22"/>
  <c r="K69" i="22" s="1"/>
  <c r="K71" i="22" s="1"/>
  <c r="J63" i="22"/>
  <c r="J66" i="22" s="1"/>
  <c r="J69" i="22" s="1"/>
  <c r="J71" i="22" s="1"/>
  <c r="J27" i="22"/>
  <c r="J29" i="22" s="1"/>
  <c r="F63" i="22"/>
  <c r="F66" i="22" s="1"/>
  <c r="F69" i="22" s="1"/>
  <c r="F71" i="22" s="1"/>
  <c r="F27" i="22"/>
  <c r="F29" i="22" s="1"/>
  <c r="B71" i="22"/>
  <c r="B73" i="22" s="1"/>
  <c r="B76" i="22" s="1"/>
  <c r="H25" i="22"/>
  <c r="H26" i="22"/>
  <c r="J26" i="22"/>
  <c r="J25" i="22"/>
  <c r="E63" i="22"/>
  <c r="E66" i="22" s="1"/>
  <c r="E69" i="22" s="1"/>
  <c r="E71" i="22" s="1"/>
  <c r="E27" i="22"/>
  <c r="E28" i="22" s="1"/>
  <c r="L28" i="22"/>
  <c r="L29" i="22"/>
  <c r="L25" i="22"/>
  <c r="L26" i="22"/>
  <c r="C71" i="22"/>
  <c r="C73" i="22" s="1"/>
  <c r="C76" i="22" s="1"/>
  <c r="F26" i="22"/>
  <c r="F25" i="22"/>
  <c r="H63" i="22"/>
  <c r="H66" i="22" s="1"/>
  <c r="H27" i="22"/>
  <c r="H29" i="22" s="1"/>
  <c r="B26" i="22"/>
  <c r="B25" i="22"/>
  <c r="G25" i="22"/>
  <c r="G26" i="22"/>
  <c r="C28" i="22"/>
  <c r="C25" i="22"/>
  <c r="C29" i="22"/>
  <c r="C26" i="22"/>
  <c r="D63" i="22"/>
  <c r="D66" i="22" s="1"/>
  <c r="D69" i="22" s="1"/>
  <c r="D46" i="22" s="1"/>
  <c r="D27" i="22"/>
  <c r="D29" i="22" s="1"/>
  <c r="E25" i="22"/>
  <c r="E26" i="22"/>
  <c r="D25" i="22"/>
  <c r="D26" i="22"/>
  <c r="I63" i="22"/>
  <c r="I66" i="22" s="1"/>
  <c r="I69" i="22" s="1"/>
  <c r="I71" i="22" s="1"/>
  <c r="K28" i="22"/>
  <c r="K25" i="22"/>
  <c r="K29" i="22"/>
  <c r="K26" i="22"/>
  <c r="I25" i="22"/>
  <c r="I26" i="22"/>
  <c r="D34" i="22"/>
  <c r="D35" i="22"/>
  <c r="L63" i="22"/>
  <c r="L66" i="22" s="1"/>
  <c r="L69" i="22" s="1"/>
  <c r="L46" i="22" s="1"/>
  <c r="I27" i="22"/>
  <c r="I28" i="22" s="1"/>
  <c r="I70" i="22" l="1"/>
  <c r="I74" i="22" s="1"/>
  <c r="I67" i="22"/>
  <c r="I40" i="22" s="1"/>
  <c r="I73" i="22"/>
  <c r="I76" i="22" s="1"/>
  <c r="I46" i="22"/>
  <c r="E67" i="22"/>
  <c r="E40" i="22" s="1"/>
  <c r="E46" i="22"/>
  <c r="E73" i="22"/>
  <c r="E76" i="22" s="1"/>
  <c r="K73" i="22"/>
  <c r="K76" i="22" s="1"/>
  <c r="K46" i="22"/>
  <c r="K70" i="22"/>
  <c r="K74" i="22" s="1"/>
  <c r="K67" i="22"/>
  <c r="K40" i="22" s="1"/>
  <c r="F73" i="22"/>
  <c r="F76" i="22" s="1"/>
  <c r="F46" i="22"/>
  <c r="F70" i="22"/>
  <c r="F74" i="22" s="1"/>
  <c r="F67" i="22"/>
  <c r="F40" i="22" s="1"/>
  <c r="J73" i="22"/>
  <c r="J76" i="22" s="1"/>
  <c r="J46" i="22"/>
  <c r="J70" i="22"/>
  <c r="J67" i="22"/>
  <c r="G73" i="22"/>
  <c r="G76" i="22" s="1"/>
  <c r="G46" i="22"/>
  <c r="G70" i="22"/>
  <c r="G74" i="22" s="1"/>
  <c r="G67" i="22"/>
  <c r="G40" i="22" s="1"/>
  <c r="E70" i="22"/>
  <c r="E74" i="22" s="1"/>
  <c r="G29" i="22"/>
  <c r="G31" i="22" s="1"/>
  <c r="B28" i="22"/>
  <c r="B30" i="22" s="1"/>
  <c r="H69" i="22"/>
  <c r="H71" i="22" s="1"/>
  <c r="J28" i="22"/>
  <c r="J30" i="22" s="1"/>
  <c r="F28" i="22"/>
  <c r="F30" i="22" s="1"/>
  <c r="E29" i="22"/>
  <c r="E31" i="22" s="1"/>
  <c r="G30" i="22"/>
  <c r="I29" i="22"/>
  <c r="I31" i="22" s="1"/>
  <c r="C31" i="22"/>
  <c r="L30" i="22"/>
  <c r="D28" i="22"/>
  <c r="D30" i="22" s="1"/>
  <c r="K31" i="22"/>
  <c r="L31" i="22"/>
  <c r="D71" i="22"/>
  <c r="D73" i="22" s="1"/>
  <c r="D76" i="22" s="1"/>
  <c r="D31" i="22"/>
  <c r="D37" i="22" s="1"/>
  <c r="D49" i="22" s="1"/>
  <c r="D53" i="22" s="1"/>
  <c r="H28" i="22"/>
  <c r="H30" i="22" s="1"/>
  <c r="C30" i="22"/>
  <c r="F31" i="22"/>
  <c r="J31" i="22"/>
  <c r="H31" i="22"/>
  <c r="L71" i="22"/>
  <c r="L73" i="22" s="1"/>
  <c r="L76" i="22" s="1"/>
  <c r="I30" i="22"/>
  <c r="K30" i="22"/>
  <c r="E30" i="22"/>
  <c r="B31" i="22"/>
  <c r="J74" i="22" l="1"/>
  <c r="J77" i="22" s="1"/>
  <c r="H70" i="22"/>
  <c r="H74" i="22" s="1"/>
  <c r="H67" i="22"/>
  <c r="H40" i="22" s="1"/>
  <c r="H73" i="22"/>
  <c r="H76" i="22" s="1"/>
  <c r="H46" i="22"/>
  <c r="J40" i="22"/>
  <c r="K77" i="22"/>
  <c r="I77" i="22"/>
  <c r="G32" i="22"/>
  <c r="G45" i="22" s="1"/>
  <c r="G47" i="22" s="1"/>
  <c r="G77" i="22"/>
  <c r="F77" i="22"/>
  <c r="L32" i="22"/>
  <c r="J32" i="22"/>
  <c r="E77" i="22"/>
  <c r="H32" i="22"/>
  <c r="H45" i="22" s="1"/>
  <c r="F32" i="22"/>
  <c r="F45" i="22" s="1"/>
  <c r="F47" i="22" s="1"/>
  <c r="I32" i="22"/>
  <c r="I45" i="22" s="1"/>
  <c r="I47" i="22" s="1"/>
  <c r="D36" i="22"/>
  <c r="D32" i="22"/>
  <c r="D45" i="22" s="1"/>
  <c r="D47" i="22" s="1"/>
  <c r="E32" i="22"/>
  <c r="E45" i="22" s="1"/>
  <c r="E47" i="22" s="1"/>
  <c r="B32" i="22"/>
  <c r="B45" i="22" s="1"/>
  <c r="B47" i="22" s="1"/>
  <c r="C32" i="22"/>
  <c r="C45" i="22" s="1"/>
  <c r="C47" i="22" s="1"/>
  <c r="K32" i="22"/>
  <c r="K45" i="22" s="1"/>
  <c r="K47" i="22" s="1"/>
  <c r="L45" i="22" l="1"/>
  <c r="L47" i="22" s="1"/>
  <c r="L33" i="22"/>
  <c r="D48" i="22"/>
  <c r="D52" i="22" s="1"/>
  <c r="D54" i="22" s="1"/>
  <c r="D80" i="22" s="1"/>
  <c r="D82" i="22" s="1"/>
  <c r="D83" i="22" s="1"/>
  <c r="H47" i="22"/>
  <c r="J33" i="22"/>
  <c r="J35" i="22" s="1"/>
  <c r="J37" i="22" s="1"/>
  <c r="J45" i="22"/>
  <c r="J47" i="22" s="1"/>
  <c r="H77" i="22"/>
  <c r="G33" i="22"/>
  <c r="G35" i="22" s="1"/>
  <c r="G37" i="22" s="1"/>
  <c r="H33" i="22"/>
  <c r="D38" i="22"/>
  <c r="D79" i="22" s="1"/>
  <c r="F33" i="22"/>
  <c r="E86" i="22"/>
  <c r="E88" i="22" s="1"/>
  <c r="E33" i="22"/>
  <c r="K33" i="22"/>
  <c r="B33" i="22"/>
  <c r="I33" i="22"/>
  <c r="G86" i="22"/>
  <c r="G88" i="22" s="1"/>
  <c r="G90" i="22"/>
  <c r="C33" i="22"/>
  <c r="L34" i="22" l="1"/>
  <c r="L36" i="22" s="1"/>
  <c r="L35" i="22"/>
  <c r="L37" i="22" s="1"/>
  <c r="L49" i="22" s="1"/>
  <c r="L53" i="22" s="1"/>
  <c r="J34" i="22"/>
  <c r="J36" i="22" s="1"/>
  <c r="G34" i="22"/>
  <c r="G36" i="22" s="1"/>
  <c r="J90" i="22"/>
  <c r="J86" i="22"/>
  <c r="J88" i="22" s="1"/>
  <c r="C35" i="22"/>
  <c r="C37" i="22" s="1"/>
  <c r="C49" i="22" s="1"/>
  <c r="C53" i="22" s="1"/>
  <c r="C34" i="22"/>
  <c r="C36" i="22" s="1"/>
  <c r="C48" i="22" s="1"/>
  <c r="C52" i="22" s="1"/>
  <c r="I34" i="22"/>
  <c r="I36" i="22" s="1"/>
  <c r="I35" i="22"/>
  <c r="I37" i="22" s="1"/>
  <c r="K35" i="22"/>
  <c r="K37" i="22" s="1"/>
  <c r="K34" i="22"/>
  <c r="K36" i="22" s="1"/>
  <c r="H35" i="22"/>
  <c r="H37" i="22" s="1"/>
  <c r="H34" i="22"/>
  <c r="H36" i="22" s="1"/>
  <c r="I90" i="22"/>
  <c r="I86" i="22"/>
  <c r="I88" i="22" s="1"/>
  <c r="K86" i="22"/>
  <c r="K88" i="22" s="1"/>
  <c r="K90" i="22"/>
  <c r="E90" i="22"/>
  <c r="E89" i="22"/>
  <c r="H90" i="22"/>
  <c r="H86" i="22"/>
  <c r="H88" i="22" s="1"/>
  <c r="B35" i="22"/>
  <c r="B37" i="22" s="1"/>
  <c r="B49" i="22" s="1"/>
  <c r="B53" i="22" s="1"/>
  <c r="B34" i="22"/>
  <c r="B36" i="22" s="1"/>
  <c r="B48" i="22" s="1"/>
  <c r="B52" i="22" s="1"/>
  <c r="F35" i="22"/>
  <c r="F37" i="22" s="1"/>
  <c r="F34" i="22"/>
  <c r="F36" i="22" s="1"/>
  <c r="E34" i="22"/>
  <c r="E36" i="22" s="1"/>
  <c r="E35" i="22"/>
  <c r="E37" i="22" s="1"/>
  <c r="G89" i="22"/>
  <c r="F86" i="22"/>
  <c r="F88" i="22" s="1"/>
  <c r="F90" i="22"/>
  <c r="B54" i="22" l="1"/>
  <c r="B80" i="22" s="1"/>
  <c r="B82" i="22" s="1"/>
  <c r="B83" i="22" s="1"/>
  <c r="L48" i="22"/>
  <c r="L52" i="22" s="1"/>
  <c r="L54" i="22" s="1"/>
  <c r="L80" i="22" s="1"/>
  <c r="L82" i="22" s="1"/>
  <c r="L83" i="22" s="1"/>
  <c r="L38" i="22"/>
  <c r="J38" i="22"/>
  <c r="J42" i="22" s="1"/>
  <c r="C54" i="22"/>
  <c r="J89" i="22"/>
  <c r="J91" i="22" s="1"/>
  <c r="J92" i="22" s="1"/>
  <c r="G38" i="22"/>
  <c r="G42" i="22" s="1"/>
  <c r="E38" i="22"/>
  <c r="E42" i="22" s="1"/>
  <c r="I89" i="22"/>
  <c r="K38" i="22"/>
  <c r="K42" i="22" s="1"/>
  <c r="C38" i="22"/>
  <c r="G91" i="22"/>
  <c r="G92" i="22" s="1"/>
  <c r="H38" i="22"/>
  <c r="H42" i="22" s="1"/>
  <c r="F38" i="22"/>
  <c r="F42" i="22" s="1"/>
  <c r="B38" i="22"/>
  <c r="B79" i="22" s="1"/>
  <c r="E91" i="22"/>
  <c r="E92" i="22" s="1"/>
  <c r="K89" i="22"/>
  <c r="I38" i="22"/>
  <c r="I42" i="22" s="1"/>
  <c r="F89" i="22"/>
  <c r="H89" i="22"/>
  <c r="L79" i="22" l="1"/>
  <c r="L42" i="22"/>
  <c r="L44" i="22" s="1"/>
  <c r="J79" i="22"/>
  <c r="G79" i="22"/>
  <c r="E43" i="22"/>
  <c r="G44" i="22"/>
  <c r="G43" i="22"/>
  <c r="J44" i="22"/>
  <c r="J43" i="22"/>
  <c r="I79" i="22"/>
  <c r="H79" i="22"/>
  <c r="F79" i="22"/>
  <c r="K79" i="22"/>
  <c r="H91" i="22"/>
  <c r="H92" i="22" s="1"/>
  <c r="I91" i="22"/>
  <c r="I92" i="22" s="1"/>
  <c r="F91" i="22"/>
  <c r="F92" i="22" s="1"/>
  <c r="K91" i="22"/>
  <c r="K92" i="22" s="1"/>
  <c r="C80" i="22"/>
  <c r="C82" i="22" s="1"/>
  <c r="C83" i="22" s="1"/>
  <c r="C79" i="22"/>
  <c r="E79" i="22"/>
  <c r="J55" i="22" l="1"/>
  <c r="J49" i="22"/>
  <c r="J53" i="22" s="1"/>
  <c r="J48" i="22"/>
  <c r="J52" i="22" s="1"/>
  <c r="E55" i="22"/>
  <c r="E48" i="22"/>
  <c r="E52" i="22" s="1"/>
  <c r="E49" i="22"/>
  <c r="E53" i="22" s="1"/>
  <c r="G55" i="22"/>
  <c r="G48" i="22"/>
  <c r="G52" i="22" s="1"/>
  <c r="G49" i="22"/>
  <c r="G53" i="22" s="1"/>
  <c r="E44" i="22"/>
  <c r="K44" i="22"/>
  <c r="D25" i="24" s="1"/>
  <c r="D27" i="24" s="1"/>
  <c r="K43" i="22"/>
  <c r="H44" i="22"/>
  <c r="H43" i="22"/>
  <c r="F44" i="22"/>
  <c r="F43" i="22"/>
  <c r="I44" i="22"/>
  <c r="I43" i="22"/>
  <c r="J54" i="22" l="1"/>
  <c r="J80" i="22" s="1"/>
  <c r="J82" i="22" s="1"/>
  <c r="J83" i="22" s="1"/>
  <c r="H55" i="22"/>
  <c r="H49" i="22"/>
  <c r="H53" i="22" s="1"/>
  <c r="H48" i="22"/>
  <c r="H52" i="22" s="1"/>
  <c r="F55" i="22"/>
  <c r="F48" i="22"/>
  <c r="F52" i="22" s="1"/>
  <c r="F49" i="22"/>
  <c r="F53" i="22" s="1"/>
  <c r="K55" i="22"/>
  <c r="K48" i="22"/>
  <c r="K52" i="22" s="1"/>
  <c r="K49" i="22"/>
  <c r="K53" i="22" s="1"/>
  <c r="G54" i="22"/>
  <c r="G80" i="22" s="1"/>
  <c r="G82" i="22" s="1"/>
  <c r="G83" i="22" s="1"/>
  <c r="I55" i="22"/>
  <c r="I48" i="22"/>
  <c r="I52" i="22" s="1"/>
  <c r="I49" i="22"/>
  <c r="I53" i="22" s="1"/>
  <c r="E54" i="22"/>
  <c r="E80" i="22" s="1"/>
  <c r="E82" i="22" s="1"/>
  <c r="E83" i="22" s="1"/>
  <c r="H54" i="22" l="1"/>
  <c r="H80" i="22" s="1"/>
  <c r="H82" i="22" s="1"/>
  <c r="H83" i="22" s="1"/>
  <c r="I54" i="22"/>
  <c r="I80" i="22" s="1"/>
  <c r="I82" i="22" s="1"/>
  <c r="I83" i="22" s="1"/>
  <c r="K54" i="22"/>
  <c r="K80" i="22" s="1"/>
  <c r="K82" i="22" s="1"/>
  <c r="K83" i="22" s="1"/>
  <c r="F54" i="22"/>
  <c r="F80" i="22" s="1"/>
  <c r="F82" i="22" s="1"/>
  <c r="F83" i="22" s="1"/>
</calcChain>
</file>

<file path=xl/comments1.xml><?xml version="1.0" encoding="utf-8"?>
<comments xmlns="http://schemas.openxmlformats.org/spreadsheetml/2006/main">
  <authors>
    <author>作成者</author>
  </authors>
  <commentList>
    <comment ref="C66" authorId="0">
      <text>
        <r>
          <rPr>
            <b/>
            <sz val="9"/>
            <color indexed="81"/>
            <rFont val="ＭＳ Ｐゴシック"/>
            <family val="3"/>
            <charset val="128"/>
          </rPr>
          <t>寄附金控除追加
48,000円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<sst xmlns="http://schemas.openxmlformats.org/spreadsheetml/2006/main" count="175" uniqueCount="125">
  <si>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</si>
  <si>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</si>
  <si>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</si>
  <si>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</si>
  <si>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</si>
  <si>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</si>
  <si>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</si>
  <si>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</si>
  <si>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</si>
  <si>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</si>
  <si>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</si>
  <si>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</si>
  <si>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</si>
  <si>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</si>
  <si>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</si>
  <si>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</si>
  <si>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</si>
  <si>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</si>
  <si>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</si>
  <si>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</si>
  <si>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</si>
  <si>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</si>
  <si>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</si>
  <si>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</si>
  <si>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</si>
  <si>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</si>
  <si>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</si>
  <si>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</si>
  <si>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</si>
  <si>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</si>
  <si>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給与所得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</si>
  <si>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</si>
  <si>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</si>
  <si>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</si>
  <si>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</si>
  <si>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</si>
  <si>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</si>
  <si>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</si>
  <si>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</si>
  <si>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</si>
  <si>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</si>
  <si>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</si>
  <si>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</si>
  <si>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</si>
  <si>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</si>
  <si>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</si>
  <si>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</si>
  <si>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</si>
  <si>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</si>
  <si>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</si>
  <si>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</si>
  <si>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</si>
  <si>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</si>
  <si>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</si>
  <si>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</si>
  <si>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</si>
  <si>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</si>
  <si>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</si>
  <si>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</si>
  <si>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</si>
  <si>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</si>
  <si>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</si>
  <si>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</si>
  <si>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</si>
  <si>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</si>
  <si>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</si>
  <si>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</si>
  <si>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</si>
  <si>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</si>
  <si>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</si>
  <si>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</si>
  <si>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</si>
  <si>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</si>
  <si>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</si>
  <si>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</si>
  <si>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</si>
  <si>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</si>
  <si>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</si>
  <si>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</si>
  <si>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</si>
  <si>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ふるさと控除上限額（調整控除後税額×0.1）①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</si>
  <si>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</si>
  <si>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</si>
  <si>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</si>
  <si>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</si>
  <si>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</si>
  <si>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</si>
  <si>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</si>
  <si>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</si>
  <si>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</si>
  <si>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</si>
  <si>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</si>
  <si>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</si>
  <si>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</si>
  <si>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</si>
  <si>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</si>
  <si>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</si>
  <si>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</si>
  <si>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</si>
  <si>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</si>
  <si>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</si>
  <si>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</si>
  <si>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</si>
  <si>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</si>
  <si>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</si>
  <si>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</si>
  <si>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</si>
  <si>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</si>
  <si>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</si>
  <si>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</si>
  <si>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</si>
  <si>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</si>
  <si>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円</t>
    <rPh sb="0" eb="1">
      <t>エン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</si>
  <si>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</si>
  <si>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</si>
  <si>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</si>
  <si>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</si>
  <si>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</si>
  <si>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</si>
  <si>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</si>
  <si>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</si>
  <si>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共働き（年収141万円以上）</t>
    <rPh sb="0" eb="2">
      <t>トモバタラ</t>
    </rPh>
    <rPh sb="4" eb="6">
      <t>ネンシュウ</t>
    </rPh>
    <rPh sb="9" eb="11">
      <t>マンエン</t>
    </rPh>
    <rPh sb="11" eb="13">
      <t>イジョウ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</si>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</sst>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#,##0.00000;[Red]\-#,##0.00000"/>
    <numFmt numFmtId="178" formatCode="#,##0.0;[Red]\-#,##0.0"/>
  </numFmts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38" fontId="2" fillId="0" borderId="0" xfId="1" applyFont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0" fillId="0" borderId="21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4" xfId="1" applyFont="1" applyFill="1" applyBorder="1" applyAlignment="1">
      <alignment vertical="center" shrinkToFit="1"/>
    </xf>
    <xf numFmtId="38" fontId="0" fillId="0" borderId="7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5" xfId="1" applyFont="1" applyFill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5" fillId="5" borderId="13" xfId="1" applyFont="1" applyFill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9" xfId="1" applyFont="1" applyFill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18" xfId="1" applyFont="1" applyBorder="1" applyAlignment="1">
      <alignment vertical="center" shrinkToFit="1"/>
    </xf>
    <xf numFmtId="38" fontId="5" fillId="12" borderId="19" xfId="1" applyFont="1" applyFill="1" applyBorder="1" applyAlignment="1">
      <alignment vertical="center" shrinkToFit="1"/>
    </xf>
    <xf numFmtId="38" fontId="5" fillId="12" borderId="19" xfId="1" applyFont="1" applyFill="1" applyBorder="1" applyAlignment="1">
      <alignment vertical="center"/>
    </xf>
    <xf numFmtId="38" fontId="5" fillId="4" borderId="19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4" borderId="43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1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4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23" xfId="1" applyFont="1" applyBorder="1" applyAlignment="1">
      <alignment vertical="center" shrinkToFit="1"/>
    </xf>
    <xf numFmtId="40" fontId="2" fillId="0" borderId="24" xfId="1" applyNumberFormat="1" applyFont="1" applyBorder="1" applyAlignment="1">
      <alignment vertical="center" shrinkToFit="1"/>
    </xf>
    <xf numFmtId="38" fontId="2" fillId="6" borderId="21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38" fontId="2" fillId="6" borderId="45" xfId="1" applyFont="1" applyFill="1" applyBorder="1" applyAlignment="1">
      <alignment vertical="center"/>
    </xf>
    <xf numFmtId="38" fontId="2" fillId="4" borderId="15" xfId="1" applyFont="1" applyFill="1" applyBorder="1" applyAlignment="1">
      <alignment vertical="center" shrinkToFit="1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6" borderId="45" xfId="1" applyFont="1" applyFill="1" applyBorder="1" applyAlignment="1">
      <alignment horizontal="center" vertical="center"/>
    </xf>
    <xf numFmtId="38" fontId="2" fillId="0" borderId="25" xfId="1" applyFont="1" applyBorder="1" applyAlignment="1">
      <alignment vertical="center" shrinkToFit="1"/>
    </xf>
    <xf numFmtId="38" fontId="2" fillId="0" borderId="26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5" xfId="1" applyFont="1" applyBorder="1" applyAlignment="1">
      <alignment vertical="center"/>
    </xf>
    <xf numFmtId="38" fontId="2" fillId="0" borderId="27" xfId="1" applyFont="1" applyBorder="1" applyAlignment="1">
      <alignment vertical="center" shrinkToFit="1"/>
    </xf>
    <xf numFmtId="38" fontId="2" fillId="0" borderId="22" xfId="1" applyFont="1" applyBorder="1" applyAlignment="1">
      <alignment vertical="center" shrinkToFit="1"/>
    </xf>
    <xf numFmtId="38" fontId="2" fillId="4" borderId="1" xfId="1" applyFont="1" applyFill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2" fillId="4" borderId="45" xfId="1" applyFont="1" applyFill="1" applyBorder="1" applyAlignment="1">
      <alignment vertical="center"/>
    </xf>
    <xf numFmtId="38" fontId="0" fillId="0" borderId="21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0" borderId="45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12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10" xfId="1" applyFont="1" applyFill="1" applyBorder="1" applyAlignment="1">
      <alignment vertical="center"/>
    </xf>
    <xf numFmtId="38" fontId="2" fillId="7" borderId="3" xfId="1" applyFont="1" applyFill="1" applyBorder="1" applyAlignment="1">
      <alignment vertical="center"/>
    </xf>
    <xf numFmtId="38" fontId="2" fillId="2" borderId="15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5" xfId="1" applyFont="1" applyFill="1" applyBorder="1" applyAlignment="1">
      <alignment vertical="center" shrinkToFit="1"/>
    </xf>
    <xf numFmtId="38" fontId="0" fillId="4" borderId="21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8" borderId="21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2" fillId="8" borderId="45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2" fillId="8" borderId="45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1" xfId="1" applyFont="1" applyFill="1" applyBorder="1" applyAlignment="1">
      <alignment vertical="center" shrinkToFit="1"/>
    </xf>
    <xf numFmtId="38" fontId="2" fillId="0" borderId="33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40" xfId="1" applyFont="1" applyFill="1" applyBorder="1" applyAlignment="1">
      <alignment vertical="center" shrinkToFit="1"/>
    </xf>
    <xf numFmtId="38" fontId="0" fillId="4" borderId="28" xfId="1" applyFont="1" applyFill="1" applyBorder="1" applyAlignment="1">
      <alignment vertical="center" shrinkToFit="1"/>
    </xf>
    <xf numFmtId="38" fontId="2" fillId="12" borderId="32" xfId="1" applyFont="1" applyFill="1" applyBorder="1" applyAlignment="1">
      <alignment vertical="center" shrinkToFit="1"/>
    </xf>
    <xf numFmtId="38" fontId="2" fillId="12" borderId="7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2" fillId="4" borderId="47" xfId="1" applyFont="1" applyFill="1" applyBorder="1" applyAlignment="1">
      <alignment vertical="center" shrinkToFit="1"/>
    </xf>
    <xf numFmtId="38" fontId="0" fillId="14" borderId="21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38" fontId="2" fillId="11" borderId="45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 shrinkToFit="1"/>
    </xf>
    <xf numFmtId="38" fontId="2" fillId="2" borderId="19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49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2" borderId="45" xfId="1" applyFont="1" applyFill="1" applyBorder="1" applyAlignment="1">
      <alignment vertical="center" shrinkToFit="1"/>
    </xf>
    <xf numFmtId="38" fontId="2" fillId="12" borderId="19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0" borderId="49" xfId="1" applyFont="1" applyBorder="1" applyAlignment="1">
      <alignment vertical="center"/>
    </xf>
    <xf numFmtId="38" fontId="2" fillId="3" borderId="15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5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horizontal="left" vertical="center" shrinkToFit="1"/>
    </xf>
    <xf numFmtId="38" fontId="5" fillId="3" borderId="22" xfId="1" applyFont="1" applyFill="1" applyBorder="1" applyAlignment="1">
      <alignment vertical="center" shrinkToFit="1"/>
    </xf>
    <xf numFmtId="38" fontId="2" fillId="3" borderId="27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4" xfId="1" applyFont="1" applyFill="1" applyBorder="1" applyAlignment="1">
      <alignment vertical="center"/>
    </xf>
    <xf numFmtId="38" fontId="2" fillId="10" borderId="45" xfId="1" applyFont="1" applyFill="1" applyBorder="1" applyAlignment="1">
      <alignment vertical="center"/>
    </xf>
    <xf numFmtId="38" fontId="2" fillId="13" borderId="29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 shrinkToFit="1"/>
    </xf>
    <xf numFmtId="38" fontId="2" fillId="13" borderId="30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3" borderId="51" xfId="1" applyFont="1" applyFill="1" applyBorder="1" applyAlignment="1">
      <alignment vertical="center"/>
    </xf>
    <xf numFmtId="38" fontId="2" fillId="10" borderId="15" xfId="1" applyFont="1" applyFill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2" borderId="18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14" fillId="12" borderId="19" xfId="1" applyFont="1" applyFill="1" applyBorder="1" applyAlignment="1">
      <alignment vertical="center"/>
    </xf>
    <xf numFmtId="38" fontId="2" fillId="2" borderId="19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 shrinkToFit="1"/>
    </xf>
    <xf numFmtId="38" fontId="14" fillId="12" borderId="7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8" xfId="1" applyFont="1" applyFill="1" applyBorder="1" applyAlignment="1">
      <alignment vertical="center" shrinkToFit="1"/>
    </xf>
    <xf numFmtId="9" fontId="2" fillId="10" borderId="48" xfId="4" applyNumberFormat="1" applyFont="1" applyFill="1" applyBorder="1" applyAlignment="1">
      <alignment vertical="center"/>
    </xf>
    <xf numFmtId="38" fontId="2" fillId="14" borderId="19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4" xfId="5" applyFont="1" applyBorder="1" applyAlignment="1">
      <alignment vertical="center"/>
    </xf>
    <xf numFmtId="38" fontId="0" fillId="0" borderId="55" xfId="5" applyFont="1" applyBorder="1" applyAlignment="1">
      <alignment vertical="center"/>
    </xf>
    <xf numFmtId="38" fontId="0" fillId="0" borderId="54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34" xfId="5" applyFont="1" applyBorder="1" applyAlignment="1">
      <alignment horizontal="left"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6" fillId="0" borderId="0" xfId="5" applyFont="1" applyBorder="1" applyAlignment="1">
      <alignment vertical="center"/>
    </xf>
    <xf numFmtId="38" fontId="17" fillId="0" borderId="0" xfId="5" applyFont="1" applyBorder="1" applyAlignment="1">
      <alignment vertical="center"/>
    </xf>
    <xf numFmtId="38" fontId="18" fillId="0" borderId="58" xfId="5" applyFont="1" applyFill="1" applyBorder="1" applyAlignment="1">
      <alignment vertical="center"/>
    </xf>
    <xf numFmtId="38" fontId="18" fillId="0" borderId="59" xfId="5" applyFont="1" applyFill="1" applyBorder="1" applyAlignment="1">
      <alignment horizontal="left" vertical="center"/>
    </xf>
    <xf numFmtId="38" fontId="20" fillId="0" borderId="0" xfId="5" applyFont="1" applyBorder="1" applyAlignment="1">
      <alignment horizontal="left" vertical="center"/>
    </xf>
    <xf numFmtId="38" fontId="18" fillId="0" borderId="0" xfId="5" applyFont="1" applyFill="1" applyAlignment="1">
      <alignment horizontal="right" vertical="center"/>
    </xf>
    <xf numFmtId="38" fontId="18" fillId="0" borderId="0" xfId="5" applyFont="1" applyFill="1" applyAlignment="1">
      <alignment vertical="center"/>
    </xf>
    <xf numFmtId="38" fontId="18" fillId="0" borderId="0" xfId="5" applyFont="1" applyFill="1" applyAlignment="1">
      <alignment horizontal="left" vertical="center"/>
    </xf>
    <xf numFmtId="38" fontId="21" fillId="0" borderId="0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/>
    </xf>
    <xf numFmtId="38" fontId="0" fillId="0" borderId="4" xfId="5" applyFont="1" applyBorder="1" applyAlignment="1">
      <alignment horizontal="left" vertical="center" shrinkToFit="1"/>
    </xf>
    <xf numFmtId="38" fontId="0" fillId="4" borderId="11" xfId="5" applyFont="1" applyFill="1" applyBorder="1" applyAlignment="1" applyProtection="1">
      <alignment vertical="center"/>
      <protection locked="0"/>
    </xf>
    <xf numFmtId="38" fontId="0" fillId="4" borderId="5" xfId="5" applyFont="1" applyFill="1" applyBorder="1" applyAlignment="1" applyProtection="1">
      <alignment vertical="center"/>
      <protection locked="0"/>
    </xf>
    <xf numFmtId="38" fontId="2" fillId="0" borderId="19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vertical="center" shrinkToFit="1"/>
    </xf>
    <xf numFmtId="38" fontId="2" fillId="0" borderId="19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Fill="1" applyBorder="1" applyAlignment="1">
      <alignment vertical="center"/>
    </xf>
    <xf numFmtId="40" fontId="2" fillId="15" borderId="53" xfId="1" applyNumberFormat="1" applyFont="1" applyFill="1" applyBorder="1" applyAlignment="1">
      <alignment horizontal="right"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3" fillId="16" borderId="44" xfId="1" applyNumberFormat="1" applyFont="1" applyFill="1" applyBorder="1" applyAlignment="1">
      <alignment vertical="center"/>
    </xf>
    <xf numFmtId="38" fontId="23" fillId="16" borderId="44" xfId="1" applyFont="1" applyFill="1" applyBorder="1" applyAlignment="1">
      <alignment vertical="center"/>
    </xf>
    <xf numFmtId="38" fontId="2" fillId="0" borderId="16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5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6" borderId="44" xfId="1" applyFont="1" applyFill="1" applyBorder="1" applyAlignment="1">
      <alignment vertical="center"/>
    </xf>
    <xf numFmtId="38" fontId="2" fillId="16" borderId="44" xfId="1" applyFont="1" applyFill="1" applyBorder="1" applyAlignment="1">
      <alignment vertical="center" shrinkToFit="1"/>
    </xf>
    <xf numFmtId="38" fontId="25" fillId="16" borderId="4" xfId="1" applyFont="1" applyFill="1" applyBorder="1" applyAlignment="1">
      <alignment vertical="center"/>
    </xf>
    <xf numFmtId="38" fontId="26" fillId="4" borderId="16" xfId="1" applyFont="1" applyFill="1" applyBorder="1" applyAlignment="1">
      <alignment vertical="center"/>
    </xf>
    <xf numFmtId="38" fontId="27" fillId="0" borderId="52" xfId="1" applyFont="1" applyBorder="1" applyAlignment="1">
      <alignment vertical="center"/>
    </xf>
    <xf numFmtId="38" fontId="27" fillId="0" borderId="1" xfId="1" applyFont="1" applyBorder="1" applyAlignment="1">
      <alignment vertical="center"/>
    </xf>
    <xf numFmtId="38" fontId="27" fillId="6" borderId="1" xfId="1" applyFont="1" applyFill="1" applyBorder="1" applyAlignment="1">
      <alignment vertical="center"/>
    </xf>
    <xf numFmtId="38" fontId="27" fillId="6" borderId="1" xfId="1" applyFont="1" applyFill="1" applyBorder="1" applyAlignment="1">
      <alignment horizontal="center" vertical="center"/>
    </xf>
    <xf numFmtId="38" fontId="27" fillId="4" borderId="1" xfId="1" applyFont="1" applyFill="1" applyBorder="1" applyAlignment="1">
      <alignment vertical="center"/>
    </xf>
    <xf numFmtId="38" fontId="27" fillId="0" borderId="1" xfId="1" applyFont="1" applyBorder="1" applyAlignment="1">
      <alignment vertical="center" shrinkToFit="1"/>
    </xf>
    <xf numFmtId="38" fontId="27" fillId="0" borderId="1" xfId="1" applyFont="1" applyBorder="1" applyAlignment="1">
      <alignment horizontal="right" vertical="center"/>
    </xf>
    <xf numFmtId="38" fontId="27" fillId="4" borderId="1" xfId="1" applyFont="1" applyFill="1" applyBorder="1" applyAlignment="1">
      <alignment vertical="center" shrinkToFit="1"/>
    </xf>
    <xf numFmtId="38" fontId="27" fillId="8" borderId="1" xfId="1" applyFont="1" applyFill="1" applyBorder="1" applyAlignment="1">
      <alignment horizontal="center" vertical="center" shrinkToFit="1"/>
    </xf>
    <xf numFmtId="38" fontId="27" fillId="8" borderId="1" xfId="1" applyFont="1" applyFill="1" applyBorder="1" applyAlignment="1">
      <alignment horizontal="right" vertical="center" shrinkToFit="1"/>
    </xf>
    <xf numFmtId="38" fontId="27" fillId="4" borderId="22" xfId="1" applyFont="1" applyFill="1" applyBorder="1" applyAlignment="1">
      <alignment vertical="center" shrinkToFit="1"/>
    </xf>
    <xf numFmtId="38" fontId="27" fillId="14" borderId="1" xfId="1" applyFont="1" applyFill="1" applyBorder="1" applyAlignment="1">
      <alignment vertical="center" shrinkToFit="1"/>
    </xf>
    <xf numFmtId="38" fontId="27" fillId="0" borderId="1" xfId="1" applyFont="1" applyFill="1" applyBorder="1" applyAlignment="1">
      <alignment vertical="center" shrinkToFit="1"/>
    </xf>
    <xf numFmtId="38" fontId="27" fillId="0" borderId="0" xfId="1" applyFont="1" applyFill="1" applyBorder="1" applyAlignment="1">
      <alignment vertical="center" shrinkToFit="1"/>
    </xf>
    <xf numFmtId="38" fontId="27" fillId="11" borderId="1" xfId="1" applyFont="1" applyFill="1" applyBorder="1" applyAlignment="1">
      <alignment vertical="center" shrinkToFit="1"/>
    </xf>
    <xf numFmtId="40" fontId="27" fillId="11" borderId="1" xfId="1" applyNumberFormat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 shrinkToFit="1"/>
    </xf>
    <xf numFmtId="38" fontId="27" fillId="0" borderId="7" xfId="1" applyFont="1" applyFill="1" applyBorder="1" applyAlignment="1">
      <alignment vertical="center" shrinkToFit="1"/>
    </xf>
    <xf numFmtId="38" fontId="27" fillId="2" borderId="16" xfId="1" applyFont="1" applyFill="1" applyBorder="1" applyAlignment="1">
      <alignment vertical="center" shrinkToFit="1"/>
    </xf>
    <xf numFmtId="38" fontId="27" fillId="2" borderId="1" xfId="1" applyFont="1" applyFill="1" applyBorder="1" applyAlignment="1">
      <alignment vertical="center" shrinkToFit="1"/>
    </xf>
    <xf numFmtId="38" fontId="27" fillId="0" borderId="19" xfId="1" applyFont="1" applyFill="1" applyBorder="1" applyAlignment="1">
      <alignment vertical="center"/>
    </xf>
    <xf numFmtId="38" fontId="27" fillId="0" borderId="0" xfId="1" applyFont="1" applyFill="1" applyBorder="1" applyAlignment="1">
      <alignment vertical="center"/>
    </xf>
    <xf numFmtId="38" fontId="27" fillId="0" borderId="22" xfId="1" applyFont="1" applyFill="1" applyBorder="1" applyAlignment="1">
      <alignment vertical="center"/>
    </xf>
    <xf numFmtId="38" fontId="27" fillId="10" borderId="0" xfId="1" applyFont="1" applyFill="1" applyBorder="1" applyAlignment="1">
      <alignment vertical="center"/>
    </xf>
    <xf numFmtId="38" fontId="27" fillId="0" borderId="0" xfId="1" applyFont="1" applyAlignment="1">
      <alignment vertical="center"/>
    </xf>
    <xf numFmtId="38" fontId="27" fillId="0" borderId="16" xfId="1" applyFont="1" applyBorder="1" applyAlignment="1">
      <alignment vertical="center"/>
    </xf>
    <xf numFmtId="38" fontId="27" fillId="10" borderId="1" xfId="1" applyFont="1" applyFill="1" applyBorder="1" applyAlignment="1">
      <alignment vertical="center"/>
    </xf>
    <xf numFmtId="38" fontId="27" fillId="13" borderId="20" xfId="1" applyFont="1" applyFill="1" applyBorder="1" applyAlignment="1">
      <alignment vertical="center"/>
    </xf>
    <xf numFmtId="38" fontId="27" fillId="2" borderId="16" xfId="1" applyFont="1" applyFill="1" applyBorder="1" applyAlignment="1">
      <alignment vertical="center"/>
    </xf>
    <xf numFmtId="38" fontId="27" fillId="2" borderId="22" xfId="1" applyFont="1" applyFill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" fillId="16" borderId="45" xfId="1" applyFont="1" applyFill="1" applyBorder="1" applyAlignment="1">
      <alignment vertical="center"/>
    </xf>
    <xf numFmtId="0" fontId="23" fillId="16" borderId="45" xfId="1" applyNumberFormat="1" applyFont="1" applyFill="1" applyBorder="1" applyAlignment="1">
      <alignment vertical="center"/>
    </xf>
    <xf numFmtId="38" fontId="23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3" fillId="16" borderId="0" xfId="1" applyNumberFormat="1" applyFont="1" applyFill="1" applyBorder="1" applyAlignment="1">
      <alignment vertical="center"/>
    </xf>
    <xf numFmtId="9" fontId="2" fillId="10" borderId="49" xfId="4" applyNumberFormat="1" applyFont="1" applyFill="1" applyBorder="1" applyAlignment="1">
      <alignment vertical="center"/>
    </xf>
    <xf numFmtId="9" fontId="2" fillId="10" borderId="19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9" xfId="1" applyFont="1" applyFill="1" applyBorder="1" applyAlignment="1">
      <alignment vertical="center" shrinkToFit="1"/>
    </xf>
    <xf numFmtId="38" fontId="2" fillId="0" borderId="45" xfId="1" applyFont="1" applyFill="1" applyBorder="1" applyAlignment="1">
      <alignment vertical="center" shrinkToFit="1"/>
    </xf>
    <xf numFmtId="38" fontId="27" fillId="15" borderId="0" xfId="1" applyFont="1" applyFill="1" applyBorder="1" applyAlignment="1">
      <alignment vertical="center" shrinkToFit="1"/>
    </xf>
    <xf numFmtId="38" fontId="2" fillId="16" borderId="45" xfId="1" applyFont="1" applyFill="1" applyBorder="1" applyAlignment="1">
      <alignment vertical="center" shrinkToFit="1"/>
    </xf>
    <xf numFmtId="38" fontId="2" fillId="15" borderId="45" xfId="1" applyFont="1" applyFill="1" applyBorder="1" applyAlignment="1">
      <alignment vertical="center" shrinkToFit="1"/>
    </xf>
    <xf numFmtId="40" fontId="2" fillId="16" borderId="45" xfId="1" applyNumberFormat="1" applyFont="1" applyFill="1" applyBorder="1" applyAlignment="1">
      <alignment vertical="center" shrinkToFit="1"/>
    </xf>
    <xf numFmtId="38" fontId="2" fillId="11" borderId="47" xfId="1" applyFont="1" applyFill="1" applyBorder="1" applyAlignment="1">
      <alignment vertical="center" shrinkToFit="1"/>
    </xf>
    <xf numFmtId="38" fontId="2" fillId="0" borderId="47" xfId="1" applyFont="1" applyBorder="1" applyAlignment="1">
      <alignment vertical="center"/>
    </xf>
    <xf numFmtId="38" fontId="0" fillId="0" borderId="62" xfId="1" applyFont="1" applyFill="1" applyBorder="1" applyAlignment="1">
      <alignment vertical="center" shrinkToFit="1"/>
    </xf>
    <xf numFmtId="38" fontId="0" fillId="15" borderId="62" xfId="1" applyFont="1" applyFill="1" applyBorder="1" applyAlignment="1">
      <alignment vertical="center" shrinkToFit="1"/>
    </xf>
    <xf numFmtId="38" fontId="0" fillId="11" borderId="62" xfId="1" applyFont="1" applyFill="1" applyBorder="1" applyAlignment="1">
      <alignment vertical="center" shrinkToFit="1"/>
    </xf>
    <xf numFmtId="38" fontId="0" fillId="0" borderId="63" xfId="1" applyFont="1" applyFill="1" applyBorder="1" applyAlignment="1">
      <alignment vertical="center" shrinkToFit="1"/>
    </xf>
    <xf numFmtId="38" fontId="0" fillId="0" borderId="64" xfId="1" applyFont="1" applyFill="1" applyBorder="1" applyAlignment="1">
      <alignment vertical="center" shrinkToFit="1"/>
    </xf>
    <xf numFmtId="38" fontId="0" fillId="2" borderId="63" xfId="1" applyFont="1" applyFill="1" applyBorder="1" applyAlignment="1">
      <alignment horizontal="right" vertical="center" shrinkToFit="1"/>
    </xf>
    <xf numFmtId="38" fontId="0" fillId="2" borderId="62" xfId="1" applyFont="1" applyFill="1" applyBorder="1" applyAlignment="1">
      <alignment horizontal="right" vertical="center" shrinkToFit="1"/>
    </xf>
    <xf numFmtId="38" fontId="0" fillId="9" borderId="63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9" borderId="64" xfId="1" applyFont="1" applyFill="1" applyBorder="1" applyAlignment="1">
      <alignment horizontal="right" vertical="center" shrinkToFit="1"/>
    </xf>
    <xf numFmtId="38" fontId="0" fillId="10" borderId="45" xfId="1" applyFont="1" applyFill="1" applyBorder="1" applyAlignment="1">
      <alignment horizontal="right" vertical="center" shrinkToFit="1"/>
    </xf>
    <xf numFmtId="38" fontId="2" fillId="0" borderId="63" xfId="1" applyFont="1" applyBorder="1" applyAlignment="1">
      <alignment vertical="center" shrinkToFit="1"/>
    </xf>
    <xf numFmtId="38" fontId="2" fillId="0" borderId="62" xfId="1" applyFont="1" applyBorder="1" applyAlignment="1">
      <alignment vertical="center" shrinkToFit="1"/>
    </xf>
    <xf numFmtId="38" fontId="2" fillId="16" borderId="62" xfId="1" applyFont="1" applyFill="1" applyBorder="1" applyAlignment="1">
      <alignment vertical="center" shrinkToFit="1"/>
    </xf>
    <xf numFmtId="0" fontId="24" fillId="16" borderId="62" xfId="1" applyNumberFormat="1" applyFont="1" applyFill="1" applyBorder="1" applyAlignment="1">
      <alignment vertical="center" shrinkToFit="1"/>
    </xf>
    <xf numFmtId="38" fontId="2" fillId="10" borderId="62" xfId="1" applyFont="1" applyFill="1" applyBorder="1" applyAlignment="1">
      <alignment vertical="center" shrinkToFit="1"/>
    </xf>
    <xf numFmtId="0" fontId="27" fillId="10" borderId="1" xfId="1" applyNumberFormat="1" applyFont="1" applyFill="1" applyBorder="1" applyAlignment="1">
      <alignment vertical="center"/>
    </xf>
    <xf numFmtId="38" fontId="27" fillId="0" borderId="1" xfId="1" applyFont="1" applyFill="1" applyBorder="1" applyAlignment="1">
      <alignment vertical="center"/>
    </xf>
    <xf numFmtId="38" fontId="2" fillId="0" borderId="49" xfId="1" applyFont="1" applyFill="1" applyBorder="1" applyAlignment="1">
      <alignment vertical="center" shrinkToFit="1"/>
    </xf>
    <xf numFmtId="38" fontId="2" fillId="0" borderId="47" xfId="1" applyFont="1" applyFill="1" applyBorder="1" applyAlignment="1">
      <alignment vertical="center" shrinkToFit="1"/>
    </xf>
    <xf numFmtId="38" fontId="2" fillId="0" borderId="49" xfId="1" applyFont="1" applyFill="1" applyBorder="1" applyAlignment="1">
      <alignment vertical="center"/>
    </xf>
    <xf numFmtId="38" fontId="23" fillId="16" borderId="45" xfId="1" applyFont="1" applyFill="1" applyBorder="1" applyAlignment="1">
      <alignment vertical="center"/>
    </xf>
    <xf numFmtId="38" fontId="27" fillId="0" borderId="44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2" fillId="0" borderId="10" xfId="1" applyFont="1" applyBorder="1" applyAlignment="1">
      <alignment horizontal="left" vertical="center"/>
    </xf>
    <xf numFmtId="38" fontId="2" fillId="0" borderId="35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36" xfId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6" xfId="1" applyFont="1" applyBorder="1" applyAlignment="1">
      <alignment horizontal="left" vertical="center"/>
    </xf>
    <xf numFmtId="38" fontId="0" fillId="0" borderId="34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0" fillId="0" borderId="38" xfId="1" applyFont="1" applyBorder="1" applyAlignment="1">
      <alignment horizontal="left" vertical="center"/>
    </xf>
    <xf numFmtId="38" fontId="2" fillId="0" borderId="4" xfId="1" applyFont="1" applyBorder="1" applyAlignment="1">
      <alignment horizontal="center" vertical="center" shrinkToFit="1"/>
    </xf>
    <xf numFmtId="38" fontId="0" fillId="0" borderId="33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 shrinkToFit="1"/>
    </xf>
    <xf numFmtId="38" fontId="0" fillId="0" borderId="16" xfId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center" vertical="center" shrinkToFit="1"/>
    </xf>
    <xf numFmtId="38" fontId="2" fillId="3" borderId="3" xfId="1" applyFont="1" applyFill="1" applyBorder="1" applyAlignment="1">
      <alignment horizontal="center" vertical="center" shrinkToFit="1"/>
    </xf>
    <xf numFmtId="38" fontId="0" fillId="0" borderId="11" xfId="5" applyFont="1" applyBorder="1" applyAlignment="1">
      <alignment horizontal="left" vertical="center"/>
    </xf>
    <xf numFmtId="38" fontId="0" fillId="0" borderId="34" xfId="5" applyFont="1" applyBorder="1" applyAlignment="1">
      <alignment horizontal="left" vertical="center"/>
    </xf>
    <xf numFmtId="38" fontId="18" fillId="0" borderId="56" xfId="5" applyFont="1" applyFill="1" applyBorder="1" applyAlignment="1">
      <alignment horizontal="center" vertical="center"/>
    </xf>
    <xf numFmtId="38" fontId="18" fillId="0" borderId="57" xfId="5" applyFont="1" applyFill="1" applyBorder="1" applyAlignment="1">
      <alignment horizontal="center" vertical="center"/>
    </xf>
    <xf numFmtId="38" fontId="19" fillId="0" borderId="11" xfId="5" applyFont="1" applyBorder="1" applyAlignment="1">
      <alignment horizontal="center" vertical="center"/>
    </xf>
    <xf numFmtId="38" fontId="19" fillId="0" borderId="5" xfId="5" applyFont="1" applyBorder="1" applyAlignment="1">
      <alignment horizontal="center" vertical="center"/>
    </xf>
    <xf numFmtId="38" fontId="19" fillId="0" borderId="34" xfId="5" applyFont="1" applyBorder="1" applyAlignment="1">
      <alignment horizontal="center" vertical="center"/>
    </xf>
    <xf numFmtId="38" fontId="22" fillId="0" borderId="0" xfId="5" applyFont="1" applyAlignment="1">
      <alignment horizontal="center" vertical="center"/>
    </xf>
    <xf numFmtId="38" fontId="0" fillId="0" borderId="55" xfId="5" applyFont="1" applyBorder="1" applyAlignment="1">
      <alignment horizontal="center" vertical="center"/>
    </xf>
    <xf numFmtId="38" fontId="0" fillId="0" borderId="54" xfId="5" applyFont="1" applyBorder="1" applyAlignment="1">
      <alignment horizontal="center" vertical="center"/>
    </xf>
    <xf numFmtId="38" fontId="0" fillId="0" borderId="60" xfId="5" applyFont="1" applyBorder="1" applyAlignment="1">
      <alignment horizontal="left" vertical="center"/>
    </xf>
    <xf numFmtId="38" fontId="0" fillId="0" borderId="13" xfId="5" applyFont="1" applyBorder="1" applyAlignment="1">
      <alignment horizontal="left" vertical="center"/>
    </xf>
    <xf numFmtId="38" fontId="0" fillId="0" borderId="61" xfId="5" applyFont="1" applyBorder="1" applyAlignment="1">
      <alignment horizontal="left" vertical="center"/>
    </xf>
  </cellXfs>
  <cellStyles count="6">
    <cellStyle name="パーセント" xfId="4" builtinId="5"/>
    <cellStyle name="桁区切り" xfId="5" builtinId="6"/>
    <cellStyle name="桁区切り 2" xfId="1"/>
    <cellStyle name="桁区切り 2 2" xfId="2"/>
    <cellStyle name="桁区切り 2 3" xfId="3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/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9</xdr:col>
      <xdr:colOff>0</xdr:colOff>
      <xdr:row>4</xdr:row>
      <xdr:rowOff>16329</xdr:rowOff>
    </xdr:from>
    <xdr:to>
      <xdr:col>9</xdr:col>
      <xdr:colOff>342907</xdr:colOff>
      <xdr:row>6</xdr:row>
      <xdr:rowOff>70758</xdr:rowOff>
    </xdr:to>
    <xdr:sp macro="" textlink="">
      <xdr:nvSpPr>
        <xdr:cNvPr id="3" name="角丸四角形吹き出し 2"/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21</xdr:row>
      <xdr:rowOff>161925</xdr:rowOff>
    </xdr:from>
    <xdr:to>
      <xdr:col>3</xdr:col>
      <xdr:colOff>657225</xdr:colOff>
      <xdr:row>23</xdr:row>
      <xdr:rowOff>47625</xdr:rowOff>
    </xdr:to>
    <xdr:sp macro="" textlink="">
      <xdr:nvSpPr>
        <xdr:cNvPr id="2" name="下矢印 1"/>
        <xdr:cNvSpPr/>
      </xdr:nvSpPr>
      <xdr:spPr>
        <a:xfrm>
          <a:off x="1238250" y="4543425"/>
          <a:ext cx="140970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view="pageBreakPreview" zoomScale="85" zoomScaleNormal="100" zoomScaleSheetLayoutView="85" workbookViewId="0">
      <selection activeCell="M8" sqref="M8"/>
    </sheetView>
  </sheetViews>
  <sheetFormatPr defaultRowHeight="15" customHeight="1"/>
  <cols>
    <col min="1" max="1" width="30.5" style="1" customWidth="1"/>
    <col min="2" max="4" width="12.5" style="1" hidden="1" customWidth="1"/>
    <col min="5" max="11" width="12.5" style="1" customWidth="1"/>
    <col min="12" max="12" width="14.25" style="1" customWidth="1"/>
    <col min="13" max="13" width="5.125" style="1" bestFit="1" customWidth="1"/>
    <col min="14" max="14" width="3.125" style="1" customWidth="1"/>
    <col min="15" max="15" width="10.25" style="1" bestFit="1" customWidth="1"/>
    <col min="16" max="16" width="10.875" style="1" customWidth="1"/>
    <col min="17" max="20" width="10.625" style="1" customWidth="1"/>
    <col min="21" max="21" width="2.5" style="1" customWidth="1"/>
    <col min="22" max="23" width="10.625" style="1" customWidth="1"/>
    <col min="24" max="24" width="9.625" style="1" customWidth="1"/>
    <col min="25" max="26" width="11.125" style="1" customWidth="1"/>
    <col min="27" max="33" width="12.625" style="1" customWidth="1"/>
    <col min="34" max="256" width="8.875" style="1"/>
    <col min="257" max="257" width="23" style="1" customWidth="1"/>
    <col min="258" max="268" width="12.5" style="1" customWidth="1"/>
    <col min="269" max="269" width="4" style="1" bestFit="1" customWidth="1"/>
    <col min="270" max="270" width="3.125" style="1" customWidth="1"/>
    <col min="271" max="271" width="10.25" style="1" bestFit="1" customWidth="1"/>
    <col min="272" max="272" width="10.875" style="1" customWidth="1"/>
    <col min="273" max="276" width="10.625" style="1" customWidth="1"/>
    <col min="277" max="277" width="2.5" style="1" customWidth="1"/>
    <col min="278" max="278" width="19" style="1" customWidth="1"/>
    <col min="279" max="279" width="8" style="1" customWidth="1"/>
    <col min="280" max="280" width="9.625" style="1" customWidth="1"/>
    <col min="281" max="282" width="11.125" style="1" customWidth="1"/>
    <col min="283" max="289" width="12.625" style="1" customWidth="1"/>
    <col min="290" max="512" width="8.875" style="1"/>
    <col min="513" max="513" width="23" style="1" customWidth="1"/>
    <col min="514" max="524" width="12.5" style="1" customWidth="1"/>
    <col min="525" max="525" width="4" style="1" bestFit="1" customWidth="1"/>
    <col min="526" max="526" width="3.125" style="1" customWidth="1"/>
    <col min="527" max="527" width="10.25" style="1" bestFit="1" customWidth="1"/>
    <col min="528" max="528" width="10.875" style="1" customWidth="1"/>
    <col min="529" max="532" width="10.625" style="1" customWidth="1"/>
    <col min="533" max="533" width="2.5" style="1" customWidth="1"/>
    <col min="534" max="534" width="19" style="1" customWidth="1"/>
    <col min="535" max="535" width="8" style="1" customWidth="1"/>
    <col min="536" max="536" width="9.625" style="1" customWidth="1"/>
    <col min="537" max="538" width="11.125" style="1" customWidth="1"/>
    <col min="539" max="545" width="12.625" style="1" customWidth="1"/>
    <col min="546" max="768" width="8.875" style="1"/>
    <col min="769" max="769" width="23" style="1" customWidth="1"/>
    <col min="770" max="780" width="12.5" style="1" customWidth="1"/>
    <col min="781" max="781" width="4" style="1" bestFit="1" customWidth="1"/>
    <col min="782" max="782" width="3.125" style="1" customWidth="1"/>
    <col min="783" max="783" width="10.25" style="1" bestFit="1" customWidth="1"/>
    <col min="784" max="784" width="10.875" style="1" customWidth="1"/>
    <col min="785" max="788" width="10.625" style="1" customWidth="1"/>
    <col min="789" max="789" width="2.5" style="1" customWidth="1"/>
    <col min="790" max="790" width="19" style="1" customWidth="1"/>
    <col min="791" max="791" width="8" style="1" customWidth="1"/>
    <col min="792" max="792" width="9.625" style="1" customWidth="1"/>
    <col min="793" max="794" width="11.125" style="1" customWidth="1"/>
    <col min="795" max="801" width="12.625" style="1" customWidth="1"/>
    <col min="802" max="1024" width="8.875" style="1"/>
    <col min="1025" max="1025" width="23" style="1" customWidth="1"/>
    <col min="1026" max="1036" width="12.5" style="1" customWidth="1"/>
    <col min="1037" max="1037" width="4" style="1" bestFit="1" customWidth="1"/>
    <col min="1038" max="1038" width="3.125" style="1" customWidth="1"/>
    <col min="1039" max="1039" width="10.25" style="1" bestFit="1" customWidth="1"/>
    <col min="1040" max="1040" width="10.875" style="1" customWidth="1"/>
    <col min="1041" max="1044" width="10.625" style="1" customWidth="1"/>
    <col min="1045" max="1045" width="2.5" style="1" customWidth="1"/>
    <col min="1046" max="1046" width="19" style="1" customWidth="1"/>
    <col min="1047" max="1047" width="8" style="1" customWidth="1"/>
    <col min="1048" max="1048" width="9.625" style="1" customWidth="1"/>
    <col min="1049" max="1050" width="11.125" style="1" customWidth="1"/>
    <col min="1051" max="1057" width="12.625" style="1" customWidth="1"/>
    <col min="1058" max="1280" width="8.875" style="1"/>
    <col min="1281" max="1281" width="23" style="1" customWidth="1"/>
    <col min="1282" max="1292" width="12.5" style="1" customWidth="1"/>
    <col min="1293" max="1293" width="4" style="1" bestFit="1" customWidth="1"/>
    <col min="1294" max="1294" width="3.125" style="1" customWidth="1"/>
    <col min="1295" max="1295" width="10.25" style="1" bestFit="1" customWidth="1"/>
    <col min="1296" max="1296" width="10.875" style="1" customWidth="1"/>
    <col min="1297" max="1300" width="10.625" style="1" customWidth="1"/>
    <col min="1301" max="1301" width="2.5" style="1" customWidth="1"/>
    <col min="1302" max="1302" width="19" style="1" customWidth="1"/>
    <col min="1303" max="1303" width="8" style="1" customWidth="1"/>
    <col min="1304" max="1304" width="9.625" style="1" customWidth="1"/>
    <col min="1305" max="1306" width="11.125" style="1" customWidth="1"/>
    <col min="1307" max="1313" width="12.625" style="1" customWidth="1"/>
    <col min="1314" max="1536" width="8.875" style="1"/>
    <col min="1537" max="1537" width="23" style="1" customWidth="1"/>
    <col min="1538" max="1548" width="12.5" style="1" customWidth="1"/>
    <col min="1549" max="1549" width="4" style="1" bestFit="1" customWidth="1"/>
    <col min="1550" max="1550" width="3.125" style="1" customWidth="1"/>
    <col min="1551" max="1551" width="10.25" style="1" bestFit="1" customWidth="1"/>
    <col min="1552" max="1552" width="10.875" style="1" customWidth="1"/>
    <col min="1553" max="1556" width="10.625" style="1" customWidth="1"/>
    <col min="1557" max="1557" width="2.5" style="1" customWidth="1"/>
    <col min="1558" max="1558" width="19" style="1" customWidth="1"/>
    <col min="1559" max="1559" width="8" style="1" customWidth="1"/>
    <col min="1560" max="1560" width="9.625" style="1" customWidth="1"/>
    <col min="1561" max="1562" width="11.125" style="1" customWidth="1"/>
    <col min="1563" max="1569" width="12.625" style="1" customWidth="1"/>
    <col min="1570" max="1792" width="8.875" style="1"/>
    <col min="1793" max="1793" width="23" style="1" customWidth="1"/>
    <col min="1794" max="1804" width="12.5" style="1" customWidth="1"/>
    <col min="1805" max="1805" width="4" style="1" bestFit="1" customWidth="1"/>
    <col min="1806" max="1806" width="3.125" style="1" customWidth="1"/>
    <col min="1807" max="1807" width="10.25" style="1" bestFit="1" customWidth="1"/>
    <col min="1808" max="1808" width="10.875" style="1" customWidth="1"/>
    <col min="1809" max="1812" width="10.625" style="1" customWidth="1"/>
    <col min="1813" max="1813" width="2.5" style="1" customWidth="1"/>
    <col min="1814" max="1814" width="19" style="1" customWidth="1"/>
    <col min="1815" max="1815" width="8" style="1" customWidth="1"/>
    <col min="1816" max="1816" width="9.625" style="1" customWidth="1"/>
    <col min="1817" max="1818" width="11.125" style="1" customWidth="1"/>
    <col min="1819" max="1825" width="12.625" style="1" customWidth="1"/>
    <col min="1826" max="2048" width="8.875" style="1"/>
    <col min="2049" max="2049" width="23" style="1" customWidth="1"/>
    <col min="2050" max="2060" width="12.5" style="1" customWidth="1"/>
    <col min="2061" max="2061" width="4" style="1" bestFit="1" customWidth="1"/>
    <col min="2062" max="2062" width="3.125" style="1" customWidth="1"/>
    <col min="2063" max="2063" width="10.25" style="1" bestFit="1" customWidth="1"/>
    <col min="2064" max="2064" width="10.875" style="1" customWidth="1"/>
    <col min="2065" max="2068" width="10.625" style="1" customWidth="1"/>
    <col min="2069" max="2069" width="2.5" style="1" customWidth="1"/>
    <col min="2070" max="2070" width="19" style="1" customWidth="1"/>
    <col min="2071" max="2071" width="8" style="1" customWidth="1"/>
    <col min="2072" max="2072" width="9.625" style="1" customWidth="1"/>
    <col min="2073" max="2074" width="11.125" style="1" customWidth="1"/>
    <col min="2075" max="2081" width="12.625" style="1" customWidth="1"/>
    <col min="2082" max="2304" width="8.875" style="1"/>
    <col min="2305" max="2305" width="23" style="1" customWidth="1"/>
    <col min="2306" max="2316" width="12.5" style="1" customWidth="1"/>
    <col min="2317" max="2317" width="4" style="1" bestFit="1" customWidth="1"/>
    <col min="2318" max="2318" width="3.125" style="1" customWidth="1"/>
    <col min="2319" max="2319" width="10.25" style="1" bestFit="1" customWidth="1"/>
    <col min="2320" max="2320" width="10.875" style="1" customWidth="1"/>
    <col min="2321" max="2324" width="10.625" style="1" customWidth="1"/>
    <col min="2325" max="2325" width="2.5" style="1" customWidth="1"/>
    <col min="2326" max="2326" width="19" style="1" customWidth="1"/>
    <col min="2327" max="2327" width="8" style="1" customWidth="1"/>
    <col min="2328" max="2328" width="9.625" style="1" customWidth="1"/>
    <col min="2329" max="2330" width="11.125" style="1" customWidth="1"/>
    <col min="2331" max="2337" width="12.625" style="1" customWidth="1"/>
    <col min="2338" max="2560" width="8.875" style="1"/>
    <col min="2561" max="2561" width="23" style="1" customWidth="1"/>
    <col min="2562" max="2572" width="12.5" style="1" customWidth="1"/>
    <col min="2573" max="2573" width="4" style="1" bestFit="1" customWidth="1"/>
    <col min="2574" max="2574" width="3.125" style="1" customWidth="1"/>
    <col min="2575" max="2575" width="10.25" style="1" bestFit="1" customWidth="1"/>
    <col min="2576" max="2576" width="10.875" style="1" customWidth="1"/>
    <col min="2577" max="2580" width="10.625" style="1" customWidth="1"/>
    <col min="2581" max="2581" width="2.5" style="1" customWidth="1"/>
    <col min="2582" max="2582" width="19" style="1" customWidth="1"/>
    <col min="2583" max="2583" width="8" style="1" customWidth="1"/>
    <col min="2584" max="2584" width="9.625" style="1" customWidth="1"/>
    <col min="2585" max="2586" width="11.125" style="1" customWidth="1"/>
    <col min="2587" max="2593" width="12.625" style="1" customWidth="1"/>
    <col min="2594" max="2816" width="8.875" style="1"/>
    <col min="2817" max="2817" width="23" style="1" customWidth="1"/>
    <col min="2818" max="2828" width="12.5" style="1" customWidth="1"/>
    <col min="2829" max="2829" width="4" style="1" bestFit="1" customWidth="1"/>
    <col min="2830" max="2830" width="3.125" style="1" customWidth="1"/>
    <col min="2831" max="2831" width="10.25" style="1" bestFit="1" customWidth="1"/>
    <col min="2832" max="2832" width="10.875" style="1" customWidth="1"/>
    <col min="2833" max="2836" width="10.625" style="1" customWidth="1"/>
    <col min="2837" max="2837" width="2.5" style="1" customWidth="1"/>
    <col min="2838" max="2838" width="19" style="1" customWidth="1"/>
    <col min="2839" max="2839" width="8" style="1" customWidth="1"/>
    <col min="2840" max="2840" width="9.625" style="1" customWidth="1"/>
    <col min="2841" max="2842" width="11.125" style="1" customWidth="1"/>
    <col min="2843" max="2849" width="12.625" style="1" customWidth="1"/>
    <col min="2850" max="3072" width="8.875" style="1"/>
    <col min="3073" max="3073" width="23" style="1" customWidth="1"/>
    <col min="3074" max="3084" width="12.5" style="1" customWidth="1"/>
    <col min="3085" max="3085" width="4" style="1" bestFit="1" customWidth="1"/>
    <col min="3086" max="3086" width="3.125" style="1" customWidth="1"/>
    <col min="3087" max="3087" width="10.25" style="1" bestFit="1" customWidth="1"/>
    <col min="3088" max="3088" width="10.875" style="1" customWidth="1"/>
    <col min="3089" max="3092" width="10.625" style="1" customWidth="1"/>
    <col min="3093" max="3093" width="2.5" style="1" customWidth="1"/>
    <col min="3094" max="3094" width="19" style="1" customWidth="1"/>
    <col min="3095" max="3095" width="8" style="1" customWidth="1"/>
    <col min="3096" max="3096" width="9.625" style="1" customWidth="1"/>
    <col min="3097" max="3098" width="11.125" style="1" customWidth="1"/>
    <col min="3099" max="3105" width="12.625" style="1" customWidth="1"/>
    <col min="3106" max="3328" width="8.875" style="1"/>
    <col min="3329" max="3329" width="23" style="1" customWidth="1"/>
    <col min="3330" max="3340" width="12.5" style="1" customWidth="1"/>
    <col min="3341" max="3341" width="4" style="1" bestFit="1" customWidth="1"/>
    <col min="3342" max="3342" width="3.125" style="1" customWidth="1"/>
    <col min="3343" max="3343" width="10.25" style="1" bestFit="1" customWidth="1"/>
    <col min="3344" max="3344" width="10.875" style="1" customWidth="1"/>
    <col min="3345" max="3348" width="10.625" style="1" customWidth="1"/>
    <col min="3349" max="3349" width="2.5" style="1" customWidth="1"/>
    <col min="3350" max="3350" width="19" style="1" customWidth="1"/>
    <col min="3351" max="3351" width="8" style="1" customWidth="1"/>
    <col min="3352" max="3352" width="9.625" style="1" customWidth="1"/>
    <col min="3353" max="3354" width="11.125" style="1" customWidth="1"/>
    <col min="3355" max="3361" width="12.625" style="1" customWidth="1"/>
    <col min="3362" max="3584" width="8.875" style="1"/>
    <col min="3585" max="3585" width="23" style="1" customWidth="1"/>
    <col min="3586" max="3596" width="12.5" style="1" customWidth="1"/>
    <col min="3597" max="3597" width="4" style="1" bestFit="1" customWidth="1"/>
    <col min="3598" max="3598" width="3.125" style="1" customWidth="1"/>
    <col min="3599" max="3599" width="10.25" style="1" bestFit="1" customWidth="1"/>
    <col min="3600" max="3600" width="10.875" style="1" customWidth="1"/>
    <col min="3601" max="3604" width="10.625" style="1" customWidth="1"/>
    <col min="3605" max="3605" width="2.5" style="1" customWidth="1"/>
    <col min="3606" max="3606" width="19" style="1" customWidth="1"/>
    <col min="3607" max="3607" width="8" style="1" customWidth="1"/>
    <col min="3608" max="3608" width="9.625" style="1" customWidth="1"/>
    <col min="3609" max="3610" width="11.125" style="1" customWidth="1"/>
    <col min="3611" max="3617" width="12.625" style="1" customWidth="1"/>
    <col min="3618" max="3840" width="8.875" style="1"/>
    <col min="3841" max="3841" width="23" style="1" customWidth="1"/>
    <col min="3842" max="3852" width="12.5" style="1" customWidth="1"/>
    <col min="3853" max="3853" width="4" style="1" bestFit="1" customWidth="1"/>
    <col min="3854" max="3854" width="3.125" style="1" customWidth="1"/>
    <col min="3855" max="3855" width="10.25" style="1" bestFit="1" customWidth="1"/>
    <col min="3856" max="3856" width="10.875" style="1" customWidth="1"/>
    <col min="3857" max="3860" width="10.625" style="1" customWidth="1"/>
    <col min="3861" max="3861" width="2.5" style="1" customWidth="1"/>
    <col min="3862" max="3862" width="19" style="1" customWidth="1"/>
    <col min="3863" max="3863" width="8" style="1" customWidth="1"/>
    <col min="3864" max="3864" width="9.625" style="1" customWidth="1"/>
    <col min="3865" max="3866" width="11.125" style="1" customWidth="1"/>
    <col min="3867" max="3873" width="12.625" style="1" customWidth="1"/>
    <col min="3874" max="4096" width="8.875" style="1"/>
    <col min="4097" max="4097" width="23" style="1" customWidth="1"/>
    <col min="4098" max="4108" width="12.5" style="1" customWidth="1"/>
    <col min="4109" max="4109" width="4" style="1" bestFit="1" customWidth="1"/>
    <col min="4110" max="4110" width="3.125" style="1" customWidth="1"/>
    <col min="4111" max="4111" width="10.25" style="1" bestFit="1" customWidth="1"/>
    <col min="4112" max="4112" width="10.875" style="1" customWidth="1"/>
    <col min="4113" max="4116" width="10.625" style="1" customWidth="1"/>
    <col min="4117" max="4117" width="2.5" style="1" customWidth="1"/>
    <col min="4118" max="4118" width="19" style="1" customWidth="1"/>
    <col min="4119" max="4119" width="8" style="1" customWidth="1"/>
    <col min="4120" max="4120" width="9.625" style="1" customWidth="1"/>
    <col min="4121" max="4122" width="11.125" style="1" customWidth="1"/>
    <col min="4123" max="4129" width="12.625" style="1" customWidth="1"/>
    <col min="4130" max="4352" width="8.875" style="1"/>
    <col min="4353" max="4353" width="23" style="1" customWidth="1"/>
    <col min="4354" max="4364" width="12.5" style="1" customWidth="1"/>
    <col min="4365" max="4365" width="4" style="1" bestFit="1" customWidth="1"/>
    <col min="4366" max="4366" width="3.125" style="1" customWidth="1"/>
    <col min="4367" max="4367" width="10.25" style="1" bestFit="1" customWidth="1"/>
    <col min="4368" max="4368" width="10.875" style="1" customWidth="1"/>
    <col min="4369" max="4372" width="10.625" style="1" customWidth="1"/>
    <col min="4373" max="4373" width="2.5" style="1" customWidth="1"/>
    <col min="4374" max="4374" width="19" style="1" customWidth="1"/>
    <col min="4375" max="4375" width="8" style="1" customWidth="1"/>
    <col min="4376" max="4376" width="9.625" style="1" customWidth="1"/>
    <col min="4377" max="4378" width="11.125" style="1" customWidth="1"/>
    <col min="4379" max="4385" width="12.625" style="1" customWidth="1"/>
    <col min="4386" max="4608" width="8.875" style="1"/>
    <col min="4609" max="4609" width="23" style="1" customWidth="1"/>
    <col min="4610" max="4620" width="12.5" style="1" customWidth="1"/>
    <col min="4621" max="4621" width="4" style="1" bestFit="1" customWidth="1"/>
    <col min="4622" max="4622" width="3.125" style="1" customWidth="1"/>
    <col min="4623" max="4623" width="10.25" style="1" bestFit="1" customWidth="1"/>
    <col min="4624" max="4624" width="10.875" style="1" customWidth="1"/>
    <col min="4625" max="4628" width="10.625" style="1" customWidth="1"/>
    <col min="4629" max="4629" width="2.5" style="1" customWidth="1"/>
    <col min="4630" max="4630" width="19" style="1" customWidth="1"/>
    <col min="4631" max="4631" width="8" style="1" customWidth="1"/>
    <col min="4632" max="4632" width="9.625" style="1" customWidth="1"/>
    <col min="4633" max="4634" width="11.125" style="1" customWidth="1"/>
    <col min="4635" max="4641" width="12.625" style="1" customWidth="1"/>
    <col min="4642" max="4864" width="8.875" style="1"/>
    <col min="4865" max="4865" width="23" style="1" customWidth="1"/>
    <col min="4866" max="4876" width="12.5" style="1" customWidth="1"/>
    <col min="4877" max="4877" width="4" style="1" bestFit="1" customWidth="1"/>
    <col min="4878" max="4878" width="3.125" style="1" customWidth="1"/>
    <col min="4879" max="4879" width="10.25" style="1" bestFit="1" customWidth="1"/>
    <col min="4880" max="4880" width="10.875" style="1" customWidth="1"/>
    <col min="4881" max="4884" width="10.625" style="1" customWidth="1"/>
    <col min="4885" max="4885" width="2.5" style="1" customWidth="1"/>
    <col min="4886" max="4886" width="19" style="1" customWidth="1"/>
    <col min="4887" max="4887" width="8" style="1" customWidth="1"/>
    <col min="4888" max="4888" width="9.625" style="1" customWidth="1"/>
    <col min="4889" max="4890" width="11.125" style="1" customWidth="1"/>
    <col min="4891" max="4897" width="12.625" style="1" customWidth="1"/>
    <col min="4898" max="5120" width="8.875" style="1"/>
    <col min="5121" max="5121" width="23" style="1" customWidth="1"/>
    <col min="5122" max="5132" width="12.5" style="1" customWidth="1"/>
    <col min="5133" max="5133" width="4" style="1" bestFit="1" customWidth="1"/>
    <col min="5134" max="5134" width="3.125" style="1" customWidth="1"/>
    <col min="5135" max="5135" width="10.25" style="1" bestFit="1" customWidth="1"/>
    <col min="5136" max="5136" width="10.875" style="1" customWidth="1"/>
    <col min="5137" max="5140" width="10.625" style="1" customWidth="1"/>
    <col min="5141" max="5141" width="2.5" style="1" customWidth="1"/>
    <col min="5142" max="5142" width="19" style="1" customWidth="1"/>
    <col min="5143" max="5143" width="8" style="1" customWidth="1"/>
    <col min="5144" max="5144" width="9.625" style="1" customWidth="1"/>
    <col min="5145" max="5146" width="11.125" style="1" customWidth="1"/>
    <col min="5147" max="5153" width="12.625" style="1" customWidth="1"/>
    <col min="5154" max="5376" width="8.875" style="1"/>
    <col min="5377" max="5377" width="23" style="1" customWidth="1"/>
    <col min="5378" max="5388" width="12.5" style="1" customWidth="1"/>
    <col min="5389" max="5389" width="4" style="1" bestFit="1" customWidth="1"/>
    <col min="5390" max="5390" width="3.125" style="1" customWidth="1"/>
    <col min="5391" max="5391" width="10.25" style="1" bestFit="1" customWidth="1"/>
    <col min="5392" max="5392" width="10.875" style="1" customWidth="1"/>
    <col min="5393" max="5396" width="10.625" style="1" customWidth="1"/>
    <col min="5397" max="5397" width="2.5" style="1" customWidth="1"/>
    <col min="5398" max="5398" width="19" style="1" customWidth="1"/>
    <col min="5399" max="5399" width="8" style="1" customWidth="1"/>
    <col min="5400" max="5400" width="9.625" style="1" customWidth="1"/>
    <col min="5401" max="5402" width="11.125" style="1" customWidth="1"/>
    <col min="5403" max="5409" width="12.625" style="1" customWidth="1"/>
    <col min="5410" max="5632" width="8.875" style="1"/>
    <col min="5633" max="5633" width="23" style="1" customWidth="1"/>
    <col min="5634" max="5644" width="12.5" style="1" customWidth="1"/>
    <col min="5645" max="5645" width="4" style="1" bestFit="1" customWidth="1"/>
    <col min="5646" max="5646" width="3.125" style="1" customWidth="1"/>
    <col min="5647" max="5647" width="10.25" style="1" bestFit="1" customWidth="1"/>
    <col min="5648" max="5648" width="10.875" style="1" customWidth="1"/>
    <col min="5649" max="5652" width="10.625" style="1" customWidth="1"/>
    <col min="5653" max="5653" width="2.5" style="1" customWidth="1"/>
    <col min="5654" max="5654" width="19" style="1" customWidth="1"/>
    <col min="5655" max="5655" width="8" style="1" customWidth="1"/>
    <col min="5656" max="5656" width="9.625" style="1" customWidth="1"/>
    <col min="5657" max="5658" width="11.125" style="1" customWidth="1"/>
    <col min="5659" max="5665" width="12.625" style="1" customWidth="1"/>
    <col min="5666" max="5888" width="8.875" style="1"/>
    <col min="5889" max="5889" width="23" style="1" customWidth="1"/>
    <col min="5890" max="5900" width="12.5" style="1" customWidth="1"/>
    <col min="5901" max="5901" width="4" style="1" bestFit="1" customWidth="1"/>
    <col min="5902" max="5902" width="3.125" style="1" customWidth="1"/>
    <col min="5903" max="5903" width="10.25" style="1" bestFit="1" customWidth="1"/>
    <col min="5904" max="5904" width="10.875" style="1" customWidth="1"/>
    <col min="5905" max="5908" width="10.625" style="1" customWidth="1"/>
    <col min="5909" max="5909" width="2.5" style="1" customWidth="1"/>
    <col min="5910" max="5910" width="19" style="1" customWidth="1"/>
    <col min="5911" max="5911" width="8" style="1" customWidth="1"/>
    <col min="5912" max="5912" width="9.625" style="1" customWidth="1"/>
    <col min="5913" max="5914" width="11.125" style="1" customWidth="1"/>
    <col min="5915" max="5921" width="12.625" style="1" customWidth="1"/>
    <col min="5922" max="6144" width="8.875" style="1"/>
    <col min="6145" max="6145" width="23" style="1" customWidth="1"/>
    <col min="6146" max="6156" width="12.5" style="1" customWidth="1"/>
    <col min="6157" max="6157" width="4" style="1" bestFit="1" customWidth="1"/>
    <col min="6158" max="6158" width="3.125" style="1" customWidth="1"/>
    <col min="6159" max="6159" width="10.25" style="1" bestFit="1" customWidth="1"/>
    <col min="6160" max="6160" width="10.875" style="1" customWidth="1"/>
    <col min="6161" max="6164" width="10.625" style="1" customWidth="1"/>
    <col min="6165" max="6165" width="2.5" style="1" customWidth="1"/>
    <col min="6166" max="6166" width="19" style="1" customWidth="1"/>
    <col min="6167" max="6167" width="8" style="1" customWidth="1"/>
    <col min="6168" max="6168" width="9.625" style="1" customWidth="1"/>
    <col min="6169" max="6170" width="11.125" style="1" customWidth="1"/>
    <col min="6171" max="6177" width="12.625" style="1" customWidth="1"/>
    <col min="6178" max="6400" width="8.875" style="1"/>
    <col min="6401" max="6401" width="23" style="1" customWidth="1"/>
    <col min="6402" max="6412" width="12.5" style="1" customWidth="1"/>
    <col min="6413" max="6413" width="4" style="1" bestFit="1" customWidth="1"/>
    <col min="6414" max="6414" width="3.125" style="1" customWidth="1"/>
    <col min="6415" max="6415" width="10.25" style="1" bestFit="1" customWidth="1"/>
    <col min="6416" max="6416" width="10.875" style="1" customWidth="1"/>
    <col min="6417" max="6420" width="10.625" style="1" customWidth="1"/>
    <col min="6421" max="6421" width="2.5" style="1" customWidth="1"/>
    <col min="6422" max="6422" width="19" style="1" customWidth="1"/>
    <col min="6423" max="6423" width="8" style="1" customWidth="1"/>
    <col min="6424" max="6424" width="9.625" style="1" customWidth="1"/>
    <col min="6425" max="6426" width="11.125" style="1" customWidth="1"/>
    <col min="6427" max="6433" width="12.625" style="1" customWidth="1"/>
    <col min="6434" max="6656" width="8.875" style="1"/>
    <col min="6657" max="6657" width="23" style="1" customWidth="1"/>
    <col min="6658" max="6668" width="12.5" style="1" customWidth="1"/>
    <col min="6669" max="6669" width="4" style="1" bestFit="1" customWidth="1"/>
    <col min="6670" max="6670" width="3.125" style="1" customWidth="1"/>
    <col min="6671" max="6671" width="10.25" style="1" bestFit="1" customWidth="1"/>
    <col min="6672" max="6672" width="10.875" style="1" customWidth="1"/>
    <col min="6673" max="6676" width="10.625" style="1" customWidth="1"/>
    <col min="6677" max="6677" width="2.5" style="1" customWidth="1"/>
    <col min="6678" max="6678" width="19" style="1" customWidth="1"/>
    <col min="6679" max="6679" width="8" style="1" customWidth="1"/>
    <col min="6680" max="6680" width="9.625" style="1" customWidth="1"/>
    <col min="6681" max="6682" width="11.125" style="1" customWidth="1"/>
    <col min="6683" max="6689" width="12.625" style="1" customWidth="1"/>
    <col min="6690" max="6912" width="8.875" style="1"/>
    <col min="6913" max="6913" width="23" style="1" customWidth="1"/>
    <col min="6914" max="6924" width="12.5" style="1" customWidth="1"/>
    <col min="6925" max="6925" width="4" style="1" bestFit="1" customWidth="1"/>
    <col min="6926" max="6926" width="3.125" style="1" customWidth="1"/>
    <col min="6927" max="6927" width="10.25" style="1" bestFit="1" customWidth="1"/>
    <col min="6928" max="6928" width="10.875" style="1" customWidth="1"/>
    <col min="6929" max="6932" width="10.625" style="1" customWidth="1"/>
    <col min="6933" max="6933" width="2.5" style="1" customWidth="1"/>
    <col min="6934" max="6934" width="19" style="1" customWidth="1"/>
    <col min="6935" max="6935" width="8" style="1" customWidth="1"/>
    <col min="6936" max="6936" width="9.625" style="1" customWidth="1"/>
    <col min="6937" max="6938" width="11.125" style="1" customWidth="1"/>
    <col min="6939" max="6945" width="12.625" style="1" customWidth="1"/>
    <col min="6946" max="7168" width="8.875" style="1"/>
    <col min="7169" max="7169" width="23" style="1" customWidth="1"/>
    <col min="7170" max="7180" width="12.5" style="1" customWidth="1"/>
    <col min="7181" max="7181" width="4" style="1" bestFit="1" customWidth="1"/>
    <col min="7182" max="7182" width="3.125" style="1" customWidth="1"/>
    <col min="7183" max="7183" width="10.25" style="1" bestFit="1" customWidth="1"/>
    <col min="7184" max="7184" width="10.875" style="1" customWidth="1"/>
    <col min="7185" max="7188" width="10.625" style="1" customWidth="1"/>
    <col min="7189" max="7189" width="2.5" style="1" customWidth="1"/>
    <col min="7190" max="7190" width="19" style="1" customWidth="1"/>
    <col min="7191" max="7191" width="8" style="1" customWidth="1"/>
    <col min="7192" max="7192" width="9.625" style="1" customWidth="1"/>
    <col min="7193" max="7194" width="11.125" style="1" customWidth="1"/>
    <col min="7195" max="7201" width="12.625" style="1" customWidth="1"/>
    <col min="7202" max="7424" width="8.875" style="1"/>
    <col min="7425" max="7425" width="23" style="1" customWidth="1"/>
    <col min="7426" max="7436" width="12.5" style="1" customWidth="1"/>
    <col min="7437" max="7437" width="4" style="1" bestFit="1" customWidth="1"/>
    <col min="7438" max="7438" width="3.125" style="1" customWidth="1"/>
    <col min="7439" max="7439" width="10.25" style="1" bestFit="1" customWidth="1"/>
    <col min="7440" max="7440" width="10.875" style="1" customWidth="1"/>
    <col min="7441" max="7444" width="10.625" style="1" customWidth="1"/>
    <col min="7445" max="7445" width="2.5" style="1" customWidth="1"/>
    <col min="7446" max="7446" width="19" style="1" customWidth="1"/>
    <col min="7447" max="7447" width="8" style="1" customWidth="1"/>
    <col min="7448" max="7448" width="9.625" style="1" customWidth="1"/>
    <col min="7449" max="7450" width="11.125" style="1" customWidth="1"/>
    <col min="7451" max="7457" width="12.625" style="1" customWidth="1"/>
    <col min="7458" max="7680" width="8.875" style="1"/>
    <col min="7681" max="7681" width="23" style="1" customWidth="1"/>
    <col min="7682" max="7692" width="12.5" style="1" customWidth="1"/>
    <col min="7693" max="7693" width="4" style="1" bestFit="1" customWidth="1"/>
    <col min="7694" max="7694" width="3.125" style="1" customWidth="1"/>
    <col min="7695" max="7695" width="10.25" style="1" bestFit="1" customWidth="1"/>
    <col min="7696" max="7696" width="10.875" style="1" customWidth="1"/>
    <col min="7697" max="7700" width="10.625" style="1" customWidth="1"/>
    <col min="7701" max="7701" width="2.5" style="1" customWidth="1"/>
    <col min="7702" max="7702" width="19" style="1" customWidth="1"/>
    <col min="7703" max="7703" width="8" style="1" customWidth="1"/>
    <col min="7704" max="7704" width="9.625" style="1" customWidth="1"/>
    <col min="7705" max="7706" width="11.125" style="1" customWidth="1"/>
    <col min="7707" max="7713" width="12.625" style="1" customWidth="1"/>
    <col min="7714" max="7936" width="8.875" style="1"/>
    <col min="7937" max="7937" width="23" style="1" customWidth="1"/>
    <col min="7938" max="7948" width="12.5" style="1" customWidth="1"/>
    <col min="7949" max="7949" width="4" style="1" bestFit="1" customWidth="1"/>
    <col min="7950" max="7950" width="3.125" style="1" customWidth="1"/>
    <col min="7951" max="7951" width="10.25" style="1" bestFit="1" customWidth="1"/>
    <col min="7952" max="7952" width="10.875" style="1" customWidth="1"/>
    <col min="7953" max="7956" width="10.625" style="1" customWidth="1"/>
    <col min="7957" max="7957" width="2.5" style="1" customWidth="1"/>
    <col min="7958" max="7958" width="19" style="1" customWidth="1"/>
    <col min="7959" max="7959" width="8" style="1" customWidth="1"/>
    <col min="7960" max="7960" width="9.625" style="1" customWidth="1"/>
    <col min="7961" max="7962" width="11.125" style="1" customWidth="1"/>
    <col min="7963" max="7969" width="12.625" style="1" customWidth="1"/>
    <col min="7970" max="8192" width="8.875" style="1"/>
    <col min="8193" max="8193" width="23" style="1" customWidth="1"/>
    <col min="8194" max="8204" width="12.5" style="1" customWidth="1"/>
    <col min="8205" max="8205" width="4" style="1" bestFit="1" customWidth="1"/>
    <col min="8206" max="8206" width="3.125" style="1" customWidth="1"/>
    <col min="8207" max="8207" width="10.25" style="1" bestFit="1" customWidth="1"/>
    <col min="8208" max="8208" width="10.875" style="1" customWidth="1"/>
    <col min="8209" max="8212" width="10.625" style="1" customWidth="1"/>
    <col min="8213" max="8213" width="2.5" style="1" customWidth="1"/>
    <col min="8214" max="8214" width="19" style="1" customWidth="1"/>
    <col min="8215" max="8215" width="8" style="1" customWidth="1"/>
    <col min="8216" max="8216" width="9.625" style="1" customWidth="1"/>
    <col min="8217" max="8218" width="11.125" style="1" customWidth="1"/>
    <col min="8219" max="8225" width="12.625" style="1" customWidth="1"/>
    <col min="8226" max="8448" width="8.875" style="1"/>
    <col min="8449" max="8449" width="23" style="1" customWidth="1"/>
    <col min="8450" max="8460" width="12.5" style="1" customWidth="1"/>
    <col min="8461" max="8461" width="4" style="1" bestFit="1" customWidth="1"/>
    <col min="8462" max="8462" width="3.125" style="1" customWidth="1"/>
    <col min="8463" max="8463" width="10.25" style="1" bestFit="1" customWidth="1"/>
    <col min="8464" max="8464" width="10.875" style="1" customWidth="1"/>
    <col min="8465" max="8468" width="10.625" style="1" customWidth="1"/>
    <col min="8469" max="8469" width="2.5" style="1" customWidth="1"/>
    <col min="8470" max="8470" width="19" style="1" customWidth="1"/>
    <col min="8471" max="8471" width="8" style="1" customWidth="1"/>
    <col min="8472" max="8472" width="9.625" style="1" customWidth="1"/>
    <col min="8473" max="8474" width="11.125" style="1" customWidth="1"/>
    <col min="8475" max="8481" width="12.625" style="1" customWidth="1"/>
    <col min="8482" max="8704" width="8.875" style="1"/>
    <col min="8705" max="8705" width="23" style="1" customWidth="1"/>
    <col min="8706" max="8716" width="12.5" style="1" customWidth="1"/>
    <col min="8717" max="8717" width="4" style="1" bestFit="1" customWidth="1"/>
    <col min="8718" max="8718" width="3.125" style="1" customWidth="1"/>
    <col min="8719" max="8719" width="10.25" style="1" bestFit="1" customWidth="1"/>
    <col min="8720" max="8720" width="10.875" style="1" customWidth="1"/>
    <col min="8721" max="8724" width="10.625" style="1" customWidth="1"/>
    <col min="8725" max="8725" width="2.5" style="1" customWidth="1"/>
    <col min="8726" max="8726" width="19" style="1" customWidth="1"/>
    <col min="8727" max="8727" width="8" style="1" customWidth="1"/>
    <col min="8728" max="8728" width="9.625" style="1" customWidth="1"/>
    <col min="8729" max="8730" width="11.125" style="1" customWidth="1"/>
    <col min="8731" max="8737" width="12.625" style="1" customWidth="1"/>
    <col min="8738" max="8960" width="8.875" style="1"/>
    <col min="8961" max="8961" width="23" style="1" customWidth="1"/>
    <col min="8962" max="8972" width="12.5" style="1" customWidth="1"/>
    <col min="8973" max="8973" width="4" style="1" bestFit="1" customWidth="1"/>
    <col min="8974" max="8974" width="3.125" style="1" customWidth="1"/>
    <col min="8975" max="8975" width="10.25" style="1" bestFit="1" customWidth="1"/>
    <col min="8976" max="8976" width="10.875" style="1" customWidth="1"/>
    <col min="8977" max="8980" width="10.625" style="1" customWidth="1"/>
    <col min="8981" max="8981" width="2.5" style="1" customWidth="1"/>
    <col min="8982" max="8982" width="19" style="1" customWidth="1"/>
    <col min="8983" max="8983" width="8" style="1" customWidth="1"/>
    <col min="8984" max="8984" width="9.625" style="1" customWidth="1"/>
    <col min="8985" max="8986" width="11.125" style="1" customWidth="1"/>
    <col min="8987" max="8993" width="12.625" style="1" customWidth="1"/>
    <col min="8994" max="9216" width="8.875" style="1"/>
    <col min="9217" max="9217" width="23" style="1" customWidth="1"/>
    <col min="9218" max="9228" width="12.5" style="1" customWidth="1"/>
    <col min="9229" max="9229" width="4" style="1" bestFit="1" customWidth="1"/>
    <col min="9230" max="9230" width="3.125" style="1" customWidth="1"/>
    <col min="9231" max="9231" width="10.25" style="1" bestFit="1" customWidth="1"/>
    <col min="9232" max="9232" width="10.875" style="1" customWidth="1"/>
    <col min="9233" max="9236" width="10.625" style="1" customWidth="1"/>
    <col min="9237" max="9237" width="2.5" style="1" customWidth="1"/>
    <col min="9238" max="9238" width="19" style="1" customWidth="1"/>
    <col min="9239" max="9239" width="8" style="1" customWidth="1"/>
    <col min="9240" max="9240" width="9.625" style="1" customWidth="1"/>
    <col min="9241" max="9242" width="11.125" style="1" customWidth="1"/>
    <col min="9243" max="9249" width="12.625" style="1" customWidth="1"/>
    <col min="9250" max="9472" width="8.875" style="1"/>
    <col min="9473" max="9473" width="23" style="1" customWidth="1"/>
    <col min="9474" max="9484" width="12.5" style="1" customWidth="1"/>
    <col min="9485" max="9485" width="4" style="1" bestFit="1" customWidth="1"/>
    <col min="9486" max="9486" width="3.125" style="1" customWidth="1"/>
    <col min="9487" max="9487" width="10.25" style="1" bestFit="1" customWidth="1"/>
    <col min="9488" max="9488" width="10.875" style="1" customWidth="1"/>
    <col min="9489" max="9492" width="10.625" style="1" customWidth="1"/>
    <col min="9493" max="9493" width="2.5" style="1" customWidth="1"/>
    <col min="9494" max="9494" width="19" style="1" customWidth="1"/>
    <col min="9495" max="9495" width="8" style="1" customWidth="1"/>
    <col min="9496" max="9496" width="9.625" style="1" customWidth="1"/>
    <col min="9497" max="9498" width="11.125" style="1" customWidth="1"/>
    <col min="9499" max="9505" width="12.625" style="1" customWidth="1"/>
    <col min="9506" max="9728" width="8.875" style="1"/>
    <col min="9729" max="9729" width="23" style="1" customWidth="1"/>
    <col min="9730" max="9740" width="12.5" style="1" customWidth="1"/>
    <col min="9741" max="9741" width="4" style="1" bestFit="1" customWidth="1"/>
    <col min="9742" max="9742" width="3.125" style="1" customWidth="1"/>
    <col min="9743" max="9743" width="10.25" style="1" bestFit="1" customWidth="1"/>
    <col min="9744" max="9744" width="10.875" style="1" customWidth="1"/>
    <col min="9745" max="9748" width="10.625" style="1" customWidth="1"/>
    <col min="9749" max="9749" width="2.5" style="1" customWidth="1"/>
    <col min="9750" max="9750" width="19" style="1" customWidth="1"/>
    <col min="9751" max="9751" width="8" style="1" customWidth="1"/>
    <col min="9752" max="9752" width="9.625" style="1" customWidth="1"/>
    <col min="9753" max="9754" width="11.125" style="1" customWidth="1"/>
    <col min="9755" max="9761" width="12.625" style="1" customWidth="1"/>
    <col min="9762" max="9984" width="8.875" style="1"/>
    <col min="9985" max="9985" width="23" style="1" customWidth="1"/>
    <col min="9986" max="9996" width="12.5" style="1" customWidth="1"/>
    <col min="9997" max="9997" width="4" style="1" bestFit="1" customWidth="1"/>
    <col min="9998" max="9998" width="3.125" style="1" customWidth="1"/>
    <col min="9999" max="9999" width="10.25" style="1" bestFit="1" customWidth="1"/>
    <col min="10000" max="10000" width="10.875" style="1" customWidth="1"/>
    <col min="10001" max="10004" width="10.625" style="1" customWidth="1"/>
    <col min="10005" max="10005" width="2.5" style="1" customWidth="1"/>
    <col min="10006" max="10006" width="19" style="1" customWidth="1"/>
    <col min="10007" max="10007" width="8" style="1" customWidth="1"/>
    <col min="10008" max="10008" width="9.625" style="1" customWidth="1"/>
    <col min="10009" max="10010" width="11.125" style="1" customWidth="1"/>
    <col min="10011" max="10017" width="12.625" style="1" customWidth="1"/>
    <col min="10018" max="10240" width="8.875" style="1"/>
    <col min="10241" max="10241" width="23" style="1" customWidth="1"/>
    <col min="10242" max="10252" width="12.5" style="1" customWidth="1"/>
    <col min="10253" max="10253" width="4" style="1" bestFit="1" customWidth="1"/>
    <col min="10254" max="10254" width="3.125" style="1" customWidth="1"/>
    <col min="10255" max="10255" width="10.25" style="1" bestFit="1" customWidth="1"/>
    <col min="10256" max="10256" width="10.875" style="1" customWidth="1"/>
    <col min="10257" max="10260" width="10.625" style="1" customWidth="1"/>
    <col min="10261" max="10261" width="2.5" style="1" customWidth="1"/>
    <col min="10262" max="10262" width="19" style="1" customWidth="1"/>
    <col min="10263" max="10263" width="8" style="1" customWidth="1"/>
    <col min="10264" max="10264" width="9.625" style="1" customWidth="1"/>
    <col min="10265" max="10266" width="11.125" style="1" customWidth="1"/>
    <col min="10267" max="10273" width="12.625" style="1" customWidth="1"/>
    <col min="10274" max="10496" width="8.875" style="1"/>
    <col min="10497" max="10497" width="23" style="1" customWidth="1"/>
    <col min="10498" max="10508" width="12.5" style="1" customWidth="1"/>
    <col min="10509" max="10509" width="4" style="1" bestFit="1" customWidth="1"/>
    <col min="10510" max="10510" width="3.125" style="1" customWidth="1"/>
    <col min="10511" max="10511" width="10.25" style="1" bestFit="1" customWidth="1"/>
    <col min="10512" max="10512" width="10.875" style="1" customWidth="1"/>
    <col min="10513" max="10516" width="10.625" style="1" customWidth="1"/>
    <col min="10517" max="10517" width="2.5" style="1" customWidth="1"/>
    <col min="10518" max="10518" width="19" style="1" customWidth="1"/>
    <col min="10519" max="10519" width="8" style="1" customWidth="1"/>
    <col min="10520" max="10520" width="9.625" style="1" customWidth="1"/>
    <col min="10521" max="10522" width="11.125" style="1" customWidth="1"/>
    <col min="10523" max="10529" width="12.625" style="1" customWidth="1"/>
    <col min="10530" max="10752" width="8.875" style="1"/>
    <col min="10753" max="10753" width="23" style="1" customWidth="1"/>
    <col min="10754" max="10764" width="12.5" style="1" customWidth="1"/>
    <col min="10765" max="10765" width="4" style="1" bestFit="1" customWidth="1"/>
    <col min="10766" max="10766" width="3.125" style="1" customWidth="1"/>
    <col min="10767" max="10767" width="10.25" style="1" bestFit="1" customWidth="1"/>
    <col min="10768" max="10768" width="10.875" style="1" customWidth="1"/>
    <col min="10769" max="10772" width="10.625" style="1" customWidth="1"/>
    <col min="10773" max="10773" width="2.5" style="1" customWidth="1"/>
    <col min="10774" max="10774" width="19" style="1" customWidth="1"/>
    <col min="10775" max="10775" width="8" style="1" customWidth="1"/>
    <col min="10776" max="10776" width="9.625" style="1" customWidth="1"/>
    <col min="10777" max="10778" width="11.125" style="1" customWidth="1"/>
    <col min="10779" max="10785" width="12.625" style="1" customWidth="1"/>
    <col min="10786" max="11008" width="8.875" style="1"/>
    <col min="11009" max="11009" width="23" style="1" customWidth="1"/>
    <col min="11010" max="11020" width="12.5" style="1" customWidth="1"/>
    <col min="11021" max="11021" width="4" style="1" bestFit="1" customWidth="1"/>
    <col min="11022" max="11022" width="3.125" style="1" customWidth="1"/>
    <col min="11023" max="11023" width="10.25" style="1" bestFit="1" customWidth="1"/>
    <col min="11024" max="11024" width="10.875" style="1" customWidth="1"/>
    <col min="11025" max="11028" width="10.625" style="1" customWidth="1"/>
    <col min="11029" max="11029" width="2.5" style="1" customWidth="1"/>
    <col min="11030" max="11030" width="19" style="1" customWidth="1"/>
    <col min="11031" max="11031" width="8" style="1" customWidth="1"/>
    <col min="11032" max="11032" width="9.625" style="1" customWidth="1"/>
    <col min="11033" max="11034" width="11.125" style="1" customWidth="1"/>
    <col min="11035" max="11041" width="12.625" style="1" customWidth="1"/>
    <col min="11042" max="11264" width="8.875" style="1"/>
    <col min="11265" max="11265" width="23" style="1" customWidth="1"/>
    <col min="11266" max="11276" width="12.5" style="1" customWidth="1"/>
    <col min="11277" max="11277" width="4" style="1" bestFit="1" customWidth="1"/>
    <col min="11278" max="11278" width="3.125" style="1" customWidth="1"/>
    <col min="11279" max="11279" width="10.25" style="1" bestFit="1" customWidth="1"/>
    <col min="11280" max="11280" width="10.875" style="1" customWidth="1"/>
    <col min="11281" max="11284" width="10.625" style="1" customWidth="1"/>
    <col min="11285" max="11285" width="2.5" style="1" customWidth="1"/>
    <col min="11286" max="11286" width="19" style="1" customWidth="1"/>
    <col min="11287" max="11287" width="8" style="1" customWidth="1"/>
    <col min="11288" max="11288" width="9.625" style="1" customWidth="1"/>
    <col min="11289" max="11290" width="11.125" style="1" customWidth="1"/>
    <col min="11291" max="11297" width="12.625" style="1" customWidth="1"/>
    <col min="11298" max="11520" width="8.875" style="1"/>
    <col min="11521" max="11521" width="23" style="1" customWidth="1"/>
    <col min="11522" max="11532" width="12.5" style="1" customWidth="1"/>
    <col min="11533" max="11533" width="4" style="1" bestFit="1" customWidth="1"/>
    <col min="11534" max="11534" width="3.125" style="1" customWidth="1"/>
    <col min="11535" max="11535" width="10.25" style="1" bestFit="1" customWidth="1"/>
    <col min="11536" max="11536" width="10.875" style="1" customWidth="1"/>
    <col min="11537" max="11540" width="10.625" style="1" customWidth="1"/>
    <col min="11541" max="11541" width="2.5" style="1" customWidth="1"/>
    <col min="11542" max="11542" width="19" style="1" customWidth="1"/>
    <col min="11543" max="11543" width="8" style="1" customWidth="1"/>
    <col min="11544" max="11544" width="9.625" style="1" customWidth="1"/>
    <col min="11545" max="11546" width="11.125" style="1" customWidth="1"/>
    <col min="11547" max="11553" width="12.625" style="1" customWidth="1"/>
    <col min="11554" max="11776" width="8.875" style="1"/>
    <col min="11777" max="11777" width="23" style="1" customWidth="1"/>
    <col min="11778" max="11788" width="12.5" style="1" customWidth="1"/>
    <col min="11789" max="11789" width="4" style="1" bestFit="1" customWidth="1"/>
    <col min="11790" max="11790" width="3.125" style="1" customWidth="1"/>
    <col min="11791" max="11791" width="10.25" style="1" bestFit="1" customWidth="1"/>
    <col min="11792" max="11792" width="10.875" style="1" customWidth="1"/>
    <col min="11793" max="11796" width="10.625" style="1" customWidth="1"/>
    <col min="11797" max="11797" width="2.5" style="1" customWidth="1"/>
    <col min="11798" max="11798" width="19" style="1" customWidth="1"/>
    <col min="11799" max="11799" width="8" style="1" customWidth="1"/>
    <col min="11800" max="11800" width="9.625" style="1" customWidth="1"/>
    <col min="11801" max="11802" width="11.125" style="1" customWidth="1"/>
    <col min="11803" max="11809" width="12.625" style="1" customWidth="1"/>
    <col min="11810" max="12032" width="8.875" style="1"/>
    <col min="12033" max="12033" width="23" style="1" customWidth="1"/>
    <col min="12034" max="12044" width="12.5" style="1" customWidth="1"/>
    <col min="12045" max="12045" width="4" style="1" bestFit="1" customWidth="1"/>
    <col min="12046" max="12046" width="3.125" style="1" customWidth="1"/>
    <col min="12047" max="12047" width="10.25" style="1" bestFit="1" customWidth="1"/>
    <col min="12048" max="12048" width="10.875" style="1" customWidth="1"/>
    <col min="12049" max="12052" width="10.625" style="1" customWidth="1"/>
    <col min="12053" max="12053" width="2.5" style="1" customWidth="1"/>
    <col min="12054" max="12054" width="19" style="1" customWidth="1"/>
    <col min="12055" max="12055" width="8" style="1" customWidth="1"/>
    <col min="12056" max="12056" width="9.625" style="1" customWidth="1"/>
    <col min="12057" max="12058" width="11.125" style="1" customWidth="1"/>
    <col min="12059" max="12065" width="12.625" style="1" customWidth="1"/>
    <col min="12066" max="12288" width="8.875" style="1"/>
    <col min="12289" max="12289" width="23" style="1" customWidth="1"/>
    <col min="12290" max="12300" width="12.5" style="1" customWidth="1"/>
    <col min="12301" max="12301" width="4" style="1" bestFit="1" customWidth="1"/>
    <col min="12302" max="12302" width="3.125" style="1" customWidth="1"/>
    <col min="12303" max="12303" width="10.25" style="1" bestFit="1" customWidth="1"/>
    <col min="12304" max="12304" width="10.875" style="1" customWidth="1"/>
    <col min="12305" max="12308" width="10.625" style="1" customWidth="1"/>
    <col min="12309" max="12309" width="2.5" style="1" customWidth="1"/>
    <col min="12310" max="12310" width="19" style="1" customWidth="1"/>
    <col min="12311" max="12311" width="8" style="1" customWidth="1"/>
    <col min="12312" max="12312" width="9.625" style="1" customWidth="1"/>
    <col min="12313" max="12314" width="11.125" style="1" customWidth="1"/>
    <col min="12315" max="12321" width="12.625" style="1" customWidth="1"/>
    <col min="12322" max="12544" width="8.875" style="1"/>
    <col min="12545" max="12545" width="23" style="1" customWidth="1"/>
    <col min="12546" max="12556" width="12.5" style="1" customWidth="1"/>
    <col min="12557" max="12557" width="4" style="1" bestFit="1" customWidth="1"/>
    <col min="12558" max="12558" width="3.125" style="1" customWidth="1"/>
    <col min="12559" max="12559" width="10.25" style="1" bestFit="1" customWidth="1"/>
    <col min="12560" max="12560" width="10.875" style="1" customWidth="1"/>
    <col min="12561" max="12564" width="10.625" style="1" customWidth="1"/>
    <col min="12565" max="12565" width="2.5" style="1" customWidth="1"/>
    <col min="12566" max="12566" width="19" style="1" customWidth="1"/>
    <col min="12567" max="12567" width="8" style="1" customWidth="1"/>
    <col min="12568" max="12568" width="9.625" style="1" customWidth="1"/>
    <col min="12569" max="12570" width="11.125" style="1" customWidth="1"/>
    <col min="12571" max="12577" width="12.625" style="1" customWidth="1"/>
    <col min="12578" max="12800" width="8.875" style="1"/>
    <col min="12801" max="12801" width="23" style="1" customWidth="1"/>
    <col min="12802" max="12812" width="12.5" style="1" customWidth="1"/>
    <col min="12813" max="12813" width="4" style="1" bestFit="1" customWidth="1"/>
    <col min="12814" max="12814" width="3.125" style="1" customWidth="1"/>
    <col min="12815" max="12815" width="10.25" style="1" bestFit="1" customWidth="1"/>
    <col min="12816" max="12816" width="10.875" style="1" customWidth="1"/>
    <col min="12817" max="12820" width="10.625" style="1" customWidth="1"/>
    <col min="12821" max="12821" width="2.5" style="1" customWidth="1"/>
    <col min="12822" max="12822" width="19" style="1" customWidth="1"/>
    <col min="12823" max="12823" width="8" style="1" customWidth="1"/>
    <col min="12824" max="12824" width="9.625" style="1" customWidth="1"/>
    <col min="12825" max="12826" width="11.125" style="1" customWidth="1"/>
    <col min="12827" max="12833" width="12.625" style="1" customWidth="1"/>
    <col min="12834" max="13056" width="8.875" style="1"/>
    <col min="13057" max="13057" width="23" style="1" customWidth="1"/>
    <col min="13058" max="13068" width="12.5" style="1" customWidth="1"/>
    <col min="13069" max="13069" width="4" style="1" bestFit="1" customWidth="1"/>
    <col min="13070" max="13070" width="3.125" style="1" customWidth="1"/>
    <col min="13071" max="13071" width="10.25" style="1" bestFit="1" customWidth="1"/>
    <col min="13072" max="13072" width="10.875" style="1" customWidth="1"/>
    <col min="13073" max="13076" width="10.625" style="1" customWidth="1"/>
    <col min="13077" max="13077" width="2.5" style="1" customWidth="1"/>
    <col min="13078" max="13078" width="19" style="1" customWidth="1"/>
    <col min="13079" max="13079" width="8" style="1" customWidth="1"/>
    <col min="13080" max="13080" width="9.625" style="1" customWidth="1"/>
    <col min="13081" max="13082" width="11.125" style="1" customWidth="1"/>
    <col min="13083" max="13089" width="12.625" style="1" customWidth="1"/>
    <col min="13090" max="13312" width="8.875" style="1"/>
    <col min="13313" max="13313" width="23" style="1" customWidth="1"/>
    <col min="13314" max="13324" width="12.5" style="1" customWidth="1"/>
    <col min="13325" max="13325" width="4" style="1" bestFit="1" customWidth="1"/>
    <col min="13326" max="13326" width="3.125" style="1" customWidth="1"/>
    <col min="13327" max="13327" width="10.25" style="1" bestFit="1" customWidth="1"/>
    <col min="13328" max="13328" width="10.875" style="1" customWidth="1"/>
    <col min="13329" max="13332" width="10.625" style="1" customWidth="1"/>
    <col min="13333" max="13333" width="2.5" style="1" customWidth="1"/>
    <col min="13334" max="13334" width="19" style="1" customWidth="1"/>
    <col min="13335" max="13335" width="8" style="1" customWidth="1"/>
    <col min="13336" max="13336" width="9.625" style="1" customWidth="1"/>
    <col min="13337" max="13338" width="11.125" style="1" customWidth="1"/>
    <col min="13339" max="13345" width="12.625" style="1" customWidth="1"/>
    <col min="13346" max="13568" width="8.875" style="1"/>
    <col min="13569" max="13569" width="23" style="1" customWidth="1"/>
    <col min="13570" max="13580" width="12.5" style="1" customWidth="1"/>
    <col min="13581" max="13581" width="4" style="1" bestFit="1" customWidth="1"/>
    <col min="13582" max="13582" width="3.125" style="1" customWidth="1"/>
    <col min="13583" max="13583" width="10.25" style="1" bestFit="1" customWidth="1"/>
    <col min="13584" max="13584" width="10.875" style="1" customWidth="1"/>
    <col min="13585" max="13588" width="10.625" style="1" customWidth="1"/>
    <col min="13589" max="13589" width="2.5" style="1" customWidth="1"/>
    <col min="13590" max="13590" width="19" style="1" customWidth="1"/>
    <col min="13591" max="13591" width="8" style="1" customWidth="1"/>
    <col min="13592" max="13592" width="9.625" style="1" customWidth="1"/>
    <col min="13593" max="13594" width="11.125" style="1" customWidth="1"/>
    <col min="13595" max="13601" width="12.625" style="1" customWidth="1"/>
    <col min="13602" max="13824" width="8.875" style="1"/>
    <col min="13825" max="13825" width="23" style="1" customWidth="1"/>
    <col min="13826" max="13836" width="12.5" style="1" customWidth="1"/>
    <col min="13837" max="13837" width="4" style="1" bestFit="1" customWidth="1"/>
    <col min="13838" max="13838" width="3.125" style="1" customWidth="1"/>
    <col min="13839" max="13839" width="10.25" style="1" bestFit="1" customWidth="1"/>
    <col min="13840" max="13840" width="10.875" style="1" customWidth="1"/>
    <col min="13841" max="13844" width="10.625" style="1" customWidth="1"/>
    <col min="13845" max="13845" width="2.5" style="1" customWidth="1"/>
    <col min="13846" max="13846" width="19" style="1" customWidth="1"/>
    <col min="13847" max="13847" width="8" style="1" customWidth="1"/>
    <col min="13848" max="13848" width="9.625" style="1" customWidth="1"/>
    <col min="13849" max="13850" width="11.125" style="1" customWidth="1"/>
    <col min="13851" max="13857" width="12.625" style="1" customWidth="1"/>
    <col min="13858" max="14080" width="8.875" style="1"/>
    <col min="14081" max="14081" width="23" style="1" customWidth="1"/>
    <col min="14082" max="14092" width="12.5" style="1" customWidth="1"/>
    <col min="14093" max="14093" width="4" style="1" bestFit="1" customWidth="1"/>
    <col min="14094" max="14094" width="3.125" style="1" customWidth="1"/>
    <col min="14095" max="14095" width="10.25" style="1" bestFit="1" customWidth="1"/>
    <col min="14096" max="14096" width="10.875" style="1" customWidth="1"/>
    <col min="14097" max="14100" width="10.625" style="1" customWidth="1"/>
    <col min="14101" max="14101" width="2.5" style="1" customWidth="1"/>
    <col min="14102" max="14102" width="19" style="1" customWidth="1"/>
    <col min="14103" max="14103" width="8" style="1" customWidth="1"/>
    <col min="14104" max="14104" width="9.625" style="1" customWidth="1"/>
    <col min="14105" max="14106" width="11.125" style="1" customWidth="1"/>
    <col min="14107" max="14113" width="12.625" style="1" customWidth="1"/>
    <col min="14114" max="14336" width="8.875" style="1"/>
    <col min="14337" max="14337" width="23" style="1" customWidth="1"/>
    <col min="14338" max="14348" width="12.5" style="1" customWidth="1"/>
    <col min="14349" max="14349" width="4" style="1" bestFit="1" customWidth="1"/>
    <col min="14350" max="14350" width="3.125" style="1" customWidth="1"/>
    <col min="14351" max="14351" width="10.25" style="1" bestFit="1" customWidth="1"/>
    <col min="14352" max="14352" width="10.875" style="1" customWidth="1"/>
    <col min="14353" max="14356" width="10.625" style="1" customWidth="1"/>
    <col min="14357" max="14357" width="2.5" style="1" customWidth="1"/>
    <col min="14358" max="14358" width="19" style="1" customWidth="1"/>
    <col min="14359" max="14359" width="8" style="1" customWidth="1"/>
    <col min="14360" max="14360" width="9.625" style="1" customWidth="1"/>
    <col min="14361" max="14362" width="11.125" style="1" customWidth="1"/>
    <col min="14363" max="14369" width="12.625" style="1" customWidth="1"/>
    <col min="14370" max="14592" width="8.875" style="1"/>
    <col min="14593" max="14593" width="23" style="1" customWidth="1"/>
    <col min="14594" max="14604" width="12.5" style="1" customWidth="1"/>
    <col min="14605" max="14605" width="4" style="1" bestFit="1" customWidth="1"/>
    <col min="14606" max="14606" width="3.125" style="1" customWidth="1"/>
    <col min="14607" max="14607" width="10.25" style="1" bestFit="1" customWidth="1"/>
    <col min="14608" max="14608" width="10.875" style="1" customWidth="1"/>
    <col min="14609" max="14612" width="10.625" style="1" customWidth="1"/>
    <col min="14613" max="14613" width="2.5" style="1" customWidth="1"/>
    <col min="14614" max="14614" width="19" style="1" customWidth="1"/>
    <col min="14615" max="14615" width="8" style="1" customWidth="1"/>
    <col min="14616" max="14616" width="9.625" style="1" customWidth="1"/>
    <col min="14617" max="14618" width="11.125" style="1" customWidth="1"/>
    <col min="14619" max="14625" width="12.625" style="1" customWidth="1"/>
    <col min="14626" max="14848" width="8.875" style="1"/>
    <col min="14849" max="14849" width="23" style="1" customWidth="1"/>
    <col min="14850" max="14860" width="12.5" style="1" customWidth="1"/>
    <col min="14861" max="14861" width="4" style="1" bestFit="1" customWidth="1"/>
    <col min="14862" max="14862" width="3.125" style="1" customWidth="1"/>
    <col min="14863" max="14863" width="10.25" style="1" bestFit="1" customWidth="1"/>
    <col min="14864" max="14864" width="10.875" style="1" customWidth="1"/>
    <col min="14865" max="14868" width="10.625" style="1" customWidth="1"/>
    <col min="14869" max="14869" width="2.5" style="1" customWidth="1"/>
    <col min="14870" max="14870" width="19" style="1" customWidth="1"/>
    <col min="14871" max="14871" width="8" style="1" customWidth="1"/>
    <col min="14872" max="14872" width="9.625" style="1" customWidth="1"/>
    <col min="14873" max="14874" width="11.125" style="1" customWidth="1"/>
    <col min="14875" max="14881" width="12.625" style="1" customWidth="1"/>
    <col min="14882" max="15104" width="8.875" style="1"/>
    <col min="15105" max="15105" width="23" style="1" customWidth="1"/>
    <col min="15106" max="15116" width="12.5" style="1" customWidth="1"/>
    <col min="15117" max="15117" width="4" style="1" bestFit="1" customWidth="1"/>
    <col min="15118" max="15118" width="3.125" style="1" customWidth="1"/>
    <col min="15119" max="15119" width="10.25" style="1" bestFit="1" customWidth="1"/>
    <col min="15120" max="15120" width="10.875" style="1" customWidth="1"/>
    <col min="15121" max="15124" width="10.625" style="1" customWidth="1"/>
    <col min="15125" max="15125" width="2.5" style="1" customWidth="1"/>
    <col min="15126" max="15126" width="19" style="1" customWidth="1"/>
    <col min="15127" max="15127" width="8" style="1" customWidth="1"/>
    <col min="15128" max="15128" width="9.625" style="1" customWidth="1"/>
    <col min="15129" max="15130" width="11.125" style="1" customWidth="1"/>
    <col min="15131" max="15137" width="12.625" style="1" customWidth="1"/>
    <col min="15138" max="15360" width="8.875" style="1"/>
    <col min="15361" max="15361" width="23" style="1" customWidth="1"/>
    <col min="15362" max="15372" width="12.5" style="1" customWidth="1"/>
    <col min="15373" max="15373" width="4" style="1" bestFit="1" customWidth="1"/>
    <col min="15374" max="15374" width="3.125" style="1" customWidth="1"/>
    <col min="15375" max="15375" width="10.25" style="1" bestFit="1" customWidth="1"/>
    <col min="15376" max="15376" width="10.875" style="1" customWidth="1"/>
    <col min="15377" max="15380" width="10.625" style="1" customWidth="1"/>
    <col min="15381" max="15381" width="2.5" style="1" customWidth="1"/>
    <col min="15382" max="15382" width="19" style="1" customWidth="1"/>
    <col min="15383" max="15383" width="8" style="1" customWidth="1"/>
    <col min="15384" max="15384" width="9.625" style="1" customWidth="1"/>
    <col min="15385" max="15386" width="11.125" style="1" customWidth="1"/>
    <col min="15387" max="15393" width="12.625" style="1" customWidth="1"/>
    <col min="15394" max="15616" width="8.875" style="1"/>
    <col min="15617" max="15617" width="23" style="1" customWidth="1"/>
    <col min="15618" max="15628" width="12.5" style="1" customWidth="1"/>
    <col min="15629" max="15629" width="4" style="1" bestFit="1" customWidth="1"/>
    <col min="15630" max="15630" width="3.125" style="1" customWidth="1"/>
    <col min="15631" max="15631" width="10.25" style="1" bestFit="1" customWidth="1"/>
    <col min="15632" max="15632" width="10.875" style="1" customWidth="1"/>
    <col min="15633" max="15636" width="10.625" style="1" customWidth="1"/>
    <col min="15637" max="15637" width="2.5" style="1" customWidth="1"/>
    <col min="15638" max="15638" width="19" style="1" customWidth="1"/>
    <col min="15639" max="15639" width="8" style="1" customWidth="1"/>
    <col min="15640" max="15640" width="9.625" style="1" customWidth="1"/>
    <col min="15641" max="15642" width="11.125" style="1" customWidth="1"/>
    <col min="15643" max="15649" width="12.625" style="1" customWidth="1"/>
    <col min="15650" max="15872" width="8.875" style="1"/>
    <col min="15873" max="15873" width="23" style="1" customWidth="1"/>
    <col min="15874" max="15884" width="12.5" style="1" customWidth="1"/>
    <col min="15885" max="15885" width="4" style="1" bestFit="1" customWidth="1"/>
    <col min="15886" max="15886" width="3.125" style="1" customWidth="1"/>
    <col min="15887" max="15887" width="10.25" style="1" bestFit="1" customWidth="1"/>
    <col min="15888" max="15888" width="10.875" style="1" customWidth="1"/>
    <col min="15889" max="15892" width="10.625" style="1" customWidth="1"/>
    <col min="15893" max="15893" width="2.5" style="1" customWidth="1"/>
    <col min="15894" max="15894" width="19" style="1" customWidth="1"/>
    <col min="15895" max="15895" width="8" style="1" customWidth="1"/>
    <col min="15896" max="15896" width="9.625" style="1" customWidth="1"/>
    <col min="15897" max="15898" width="11.125" style="1" customWidth="1"/>
    <col min="15899" max="15905" width="12.625" style="1" customWidth="1"/>
    <col min="15906" max="16128" width="8.875" style="1"/>
    <col min="16129" max="16129" width="23" style="1" customWidth="1"/>
    <col min="16130" max="16140" width="12.5" style="1" customWidth="1"/>
    <col min="16141" max="16141" width="4" style="1" bestFit="1" customWidth="1"/>
    <col min="16142" max="16142" width="3.125" style="1" customWidth="1"/>
    <col min="16143" max="16143" width="10.25" style="1" bestFit="1" customWidth="1"/>
    <col min="16144" max="16144" width="10.875" style="1" customWidth="1"/>
    <col min="16145" max="16148" width="10.625" style="1" customWidth="1"/>
    <col min="16149" max="16149" width="2.5" style="1" customWidth="1"/>
    <col min="16150" max="16150" width="19" style="1" customWidth="1"/>
    <col min="16151" max="16151" width="8" style="1" customWidth="1"/>
    <col min="16152" max="16152" width="9.625" style="1" customWidth="1"/>
    <col min="16153" max="16154" width="11.125" style="1" customWidth="1"/>
    <col min="16155" max="16161" width="12.625" style="1" customWidth="1"/>
    <col min="16162" max="16384" width="8.875" style="1"/>
  </cols>
  <sheetData>
    <row r="1" spans="1:31" ht="15" customHeight="1" thickBot="1">
      <c r="A1" s="297" t="s">
        <v>1</v>
      </c>
      <c r="B1" s="297"/>
      <c r="C1" s="297"/>
      <c r="D1" s="297"/>
      <c r="E1" s="297"/>
      <c r="F1" s="297"/>
      <c r="G1" s="297"/>
      <c r="H1" s="297"/>
      <c r="I1" s="297"/>
      <c r="J1" s="297"/>
      <c r="M1" s="12"/>
      <c r="N1" s="13"/>
      <c r="O1" s="6"/>
      <c r="AA1" s="1" t="s">
        <v>2</v>
      </c>
    </row>
    <row r="2" spans="1:31" ht="15" customHeight="1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8" t="s">
        <v>3</v>
      </c>
      <c r="L2" s="299"/>
      <c r="M2" s="14">
        <f>入力欄!D12</f>
        <v>0</v>
      </c>
      <c r="N2" s="15" t="s">
        <v>4</v>
      </c>
      <c r="O2" s="6"/>
      <c r="V2" s="300" t="str">
        <f>IF(M2&gt;0,IF(M2=1,"夫婦","多妻?"),"独身")</f>
        <v>独身</v>
      </c>
      <c r="W2" s="300"/>
      <c r="AA2" s="7"/>
      <c r="AB2" s="301" t="s">
        <v>5</v>
      </c>
      <c r="AC2" s="301"/>
      <c r="AD2" s="301" t="s">
        <v>6</v>
      </c>
      <c r="AE2" s="301"/>
    </row>
    <row r="3" spans="1:31" ht="15" customHeight="1" thickBot="1">
      <c r="A3" s="16" t="s">
        <v>44</v>
      </c>
      <c r="B3" s="17">
        <v>25</v>
      </c>
      <c r="C3" s="18" t="s">
        <v>43</v>
      </c>
      <c r="K3" s="302" t="s">
        <v>7</v>
      </c>
      <c r="L3" s="303"/>
      <c r="M3" s="19"/>
      <c r="N3" s="20"/>
      <c r="O3" s="6"/>
      <c r="Q3" s="13" t="s">
        <v>8</v>
      </c>
      <c r="R3" s="13"/>
      <c r="S3" s="13" t="s">
        <v>9</v>
      </c>
      <c r="T3" s="13"/>
      <c r="V3" s="300"/>
      <c r="W3" s="300"/>
      <c r="AA3" s="7"/>
      <c r="AB3" s="21" t="s">
        <v>10</v>
      </c>
      <c r="AC3" s="8" t="s">
        <v>11</v>
      </c>
      <c r="AD3" s="21" t="s">
        <v>11</v>
      </c>
      <c r="AE3" s="21" t="s">
        <v>9</v>
      </c>
    </row>
    <row r="4" spans="1:31" ht="15" customHeight="1" thickBot="1">
      <c r="K4" s="304" t="str">
        <f>IF(B3&gt;23,"16歳未満","")</f>
        <v>16歳未満</v>
      </c>
      <c r="L4" s="305"/>
      <c r="M4" s="22">
        <f>入力欄!D15</f>
        <v>0</v>
      </c>
      <c r="N4" s="23" t="s">
        <v>4</v>
      </c>
      <c r="O4" s="24"/>
      <c r="Q4" s="25" t="s">
        <v>12</v>
      </c>
      <c r="R4" s="26"/>
      <c r="S4" s="25" t="s">
        <v>12</v>
      </c>
      <c r="T4" s="15"/>
      <c r="V4" s="306" t="str">
        <f>IF((M5+M6+M7)&gt;0,"控除対象扶養","")</f>
        <v/>
      </c>
      <c r="W4" s="306" t="str">
        <f>IF((M5+M6+M7)&gt;0,(M5+M6+M7),"")</f>
        <v/>
      </c>
      <c r="AA4" s="2" t="s">
        <v>13</v>
      </c>
      <c r="AB4" s="27">
        <v>1000000</v>
      </c>
      <c r="AC4" s="28">
        <v>1000000</v>
      </c>
      <c r="AD4" s="4">
        <v>1088888</v>
      </c>
      <c r="AE4" s="27">
        <v>1144444</v>
      </c>
    </row>
    <row r="5" spans="1:31" ht="15" customHeight="1" thickBot="1">
      <c r="K5" s="304" t="str">
        <f>IF(B3&gt;23,"16歳以上19歳未満","扶養親族")</f>
        <v>16歳以上19歳未満</v>
      </c>
      <c r="L5" s="305"/>
      <c r="M5" s="22">
        <f>入力欄!D16</f>
        <v>0</v>
      </c>
      <c r="N5" s="23" t="s">
        <v>4</v>
      </c>
      <c r="O5" s="24"/>
      <c r="Q5" s="29" t="s">
        <v>15</v>
      </c>
      <c r="R5" s="30"/>
      <c r="S5" s="29" t="s">
        <v>15</v>
      </c>
      <c r="T5" s="30"/>
      <c r="V5" s="306"/>
      <c r="W5" s="306"/>
      <c r="AA5" s="2" t="s">
        <v>16</v>
      </c>
      <c r="AB5" s="27">
        <v>1570000</v>
      </c>
      <c r="AC5" s="31">
        <v>1750000</v>
      </c>
      <c r="AD5" s="32">
        <v>1455555</v>
      </c>
      <c r="AE5" s="27">
        <v>1566666</v>
      </c>
    </row>
    <row r="6" spans="1:31" ht="15" customHeight="1" thickBot="1">
      <c r="J6" s="33"/>
      <c r="K6" s="307" t="str">
        <f>IF(B3&gt;23,"19歳以上23歳未満","特定扶養親族")</f>
        <v>19歳以上23歳未満</v>
      </c>
      <c r="L6" s="308"/>
      <c r="M6" s="22">
        <f>入力欄!D17</f>
        <v>0</v>
      </c>
      <c r="N6" s="23" t="s">
        <v>4</v>
      </c>
      <c r="O6" s="24"/>
      <c r="Q6" s="29">
        <v>0</v>
      </c>
      <c r="R6" s="34">
        <v>0</v>
      </c>
      <c r="S6" s="29">
        <v>0</v>
      </c>
      <c r="T6" s="34">
        <v>0</v>
      </c>
      <c r="V6" s="306" t="str">
        <f>IF(M6&gt;0,"うち特定扶養","")</f>
        <v/>
      </c>
      <c r="W6" s="306" t="str">
        <f>IF(M6&gt;0,M6,"")</f>
        <v/>
      </c>
      <c r="AA6" s="2" t="s">
        <v>17</v>
      </c>
      <c r="AB6" s="27">
        <v>2071428</v>
      </c>
      <c r="AC6" s="5">
        <v>2257142</v>
      </c>
      <c r="AD6" s="3">
        <v>1950000</v>
      </c>
      <c r="AE6" s="27">
        <v>2200000</v>
      </c>
    </row>
    <row r="7" spans="1:31" ht="15" customHeight="1" thickBot="1">
      <c r="B7" s="35"/>
      <c r="C7" s="36"/>
      <c r="J7" s="37"/>
      <c r="K7" s="309" t="str">
        <f>IF(B3&gt;23,"23歳以上","")</f>
        <v>23歳以上</v>
      </c>
      <c r="L7" s="310"/>
      <c r="M7" s="38">
        <f>入力欄!D18</f>
        <v>0</v>
      </c>
      <c r="N7" s="39" t="s">
        <v>4</v>
      </c>
      <c r="O7" s="6"/>
      <c r="Q7" s="29">
        <v>1625001</v>
      </c>
      <c r="R7" s="34">
        <v>0.4</v>
      </c>
      <c r="S7" s="29">
        <v>1625001</v>
      </c>
      <c r="T7" s="34">
        <v>0.4</v>
      </c>
      <c r="V7" s="306"/>
      <c r="W7" s="306"/>
      <c r="AA7" s="2" t="s">
        <v>18</v>
      </c>
      <c r="AB7" s="27">
        <v>2571428</v>
      </c>
      <c r="AC7" s="40">
        <v>2757142</v>
      </c>
      <c r="AD7" s="3">
        <v>2700000</v>
      </c>
      <c r="AE7" s="27">
        <v>3250000</v>
      </c>
    </row>
    <row r="8" spans="1:31" ht="15" customHeight="1" thickBot="1">
      <c r="A8" s="1" t="s">
        <v>54</v>
      </c>
      <c r="L8" s="1" t="s">
        <v>14</v>
      </c>
      <c r="Q8" s="29">
        <v>1800001</v>
      </c>
      <c r="R8" s="34">
        <v>0.3</v>
      </c>
      <c r="S8" s="29">
        <v>1800001</v>
      </c>
      <c r="T8" s="34">
        <v>0.3</v>
      </c>
    </row>
    <row r="9" spans="1:31" ht="15" customHeight="1" thickTop="1">
      <c r="A9" s="41" t="s">
        <v>0</v>
      </c>
      <c r="B9" s="42">
        <v>7000000</v>
      </c>
      <c r="C9" s="43">
        <v>7000000</v>
      </c>
      <c r="D9" s="44"/>
      <c r="E9" s="45"/>
      <c r="F9" s="46"/>
      <c r="G9" s="46"/>
      <c r="H9" s="46"/>
      <c r="I9" s="46"/>
      <c r="J9" s="46"/>
      <c r="K9" s="47">
        <f>入力欄!D7</f>
        <v>0</v>
      </c>
      <c r="L9" s="221">
        <v>300000000</v>
      </c>
      <c r="M9" s="48"/>
      <c r="N9" s="48"/>
      <c r="O9" s="48"/>
      <c r="Q9" s="29">
        <v>3600001</v>
      </c>
      <c r="R9" s="34">
        <v>0.2</v>
      </c>
      <c r="S9" s="29">
        <v>3600001</v>
      </c>
      <c r="T9" s="34">
        <v>0.2</v>
      </c>
    </row>
    <row r="10" spans="1:31" ht="15" customHeight="1">
      <c r="A10" s="49" t="s">
        <v>12</v>
      </c>
      <c r="B10" s="50">
        <f t="shared" ref="B10:L10" si="0">B9*VLOOKUP(B9,$Q$6:$R$11,2)+VLOOKUP(B9,$Q$14:$R$19,2)</f>
        <v>1900000</v>
      </c>
      <c r="C10" s="51">
        <f t="shared" si="0"/>
        <v>1900000</v>
      </c>
      <c r="D10" s="6">
        <f t="shared" si="0"/>
        <v>650000</v>
      </c>
      <c r="E10" s="52">
        <f>E9*VLOOKUP(E9,$Q$6:$R$12,2)+VLOOKUP(E9,$Q$14:$R$20,2)</f>
        <v>650000</v>
      </c>
      <c r="F10" s="6">
        <f t="shared" ref="F10:K10" si="1">F9*VLOOKUP(F9,$Q$6:$R$12,2)+VLOOKUP(F9,$Q$14:$R$20,2)</f>
        <v>650000</v>
      </c>
      <c r="G10" s="6">
        <f t="shared" si="1"/>
        <v>650000</v>
      </c>
      <c r="H10" s="6">
        <f t="shared" si="1"/>
        <v>650000</v>
      </c>
      <c r="I10" s="6">
        <f t="shared" si="1"/>
        <v>650000</v>
      </c>
      <c r="J10" s="6">
        <f>J9*VLOOKUP(J9,$Q$6:$R$12,2)+VLOOKUP(J9,$Q$14:$R$20,2)</f>
        <v>650000</v>
      </c>
      <c r="K10" s="6">
        <f t="shared" si="1"/>
        <v>650000</v>
      </c>
      <c r="L10" s="222">
        <f t="shared" si="0"/>
        <v>16700000</v>
      </c>
      <c r="M10" s="6"/>
      <c r="N10" s="6"/>
      <c r="O10" s="6"/>
      <c r="Q10" s="29">
        <v>6600001</v>
      </c>
      <c r="R10" s="34">
        <v>0.1</v>
      </c>
      <c r="S10" s="29">
        <v>6600001</v>
      </c>
      <c r="T10" s="34">
        <v>0.1</v>
      </c>
    </row>
    <row r="11" spans="1:31" ht="15" customHeight="1">
      <c r="A11" s="49" t="s">
        <v>19</v>
      </c>
      <c r="B11" s="50">
        <f t="shared" ref="B11:L11" si="2">B9-B10</f>
        <v>5100000</v>
      </c>
      <c r="C11" s="51">
        <f>C9-C10</f>
        <v>5100000</v>
      </c>
      <c r="D11" s="53">
        <f>D9-D10</f>
        <v>-650000</v>
      </c>
      <c r="E11" s="54">
        <f t="shared" ref="E11:I11" si="3">E9-E10</f>
        <v>-650000</v>
      </c>
      <c r="F11" s="53">
        <f t="shared" si="3"/>
        <v>-650000</v>
      </c>
      <c r="G11" s="53">
        <f t="shared" si="3"/>
        <v>-650000</v>
      </c>
      <c r="H11" s="53">
        <f t="shared" si="3"/>
        <v>-650000</v>
      </c>
      <c r="I11" s="53">
        <f t="shared" si="3"/>
        <v>-650000</v>
      </c>
      <c r="J11" s="53">
        <f t="shared" si="2"/>
        <v>-650000</v>
      </c>
      <c r="K11" s="55">
        <f t="shared" si="2"/>
        <v>-650000</v>
      </c>
      <c r="L11" s="223">
        <f t="shared" si="2"/>
        <v>283300000</v>
      </c>
      <c r="M11" s="6"/>
      <c r="N11" s="6"/>
      <c r="O11" s="6"/>
      <c r="Q11" s="56">
        <v>10000001</v>
      </c>
      <c r="R11" s="57">
        <v>0.05</v>
      </c>
      <c r="S11" s="56">
        <v>10000001</v>
      </c>
      <c r="T11" s="57">
        <v>0.05</v>
      </c>
    </row>
    <row r="12" spans="1:31" ht="15" customHeight="1">
      <c r="A12" s="58" t="s">
        <v>45</v>
      </c>
      <c r="B12" s="50">
        <f t="shared" ref="B12:L12" si="4">IF(($M$2+$M$4+$M$5+$M$6+$M$7)&gt;=1,350000*($M$2+$M$4+$M$5+$M$6+$M$7+1)+320000,350000)</f>
        <v>350000</v>
      </c>
      <c r="C12" s="51">
        <f t="shared" si="4"/>
        <v>350000</v>
      </c>
      <c r="D12" s="59">
        <f t="shared" si="4"/>
        <v>350000</v>
      </c>
      <c r="E12" s="60">
        <f t="shared" si="4"/>
        <v>350000</v>
      </c>
      <c r="F12" s="59">
        <f t="shared" si="4"/>
        <v>350000</v>
      </c>
      <c r="G12" s="59">
        <f t="shared" si="4"/>
        <v>350000</v>
      </c>
      <c r="H12" s="59">
        <f t="shared" si="4"/>
        <v>350000</v>
      </c>
      <c r="I12" s="59">
        <f t="shared" si="4"/>
        <v>350000</v>
      </c>
      <c r="J12" s="59">
        <f t="shared" si="4"/>
        <v>350000</v>
      </c>
      <c r="K12" s="61">
        <f t="shared" si="4"/>
        <v>350000</v>
      </c>
      <c r="L12" s="224">
        <f t="shared" si="4"/>
        <v>350000</v>
      </c>
      <c r="M12" s="6"/>
      <c r="N12" s="6"/>
      <c r="O12" s="6"/>
      <c r="Q12" s="62">
        <v>15000001</v>
      </c>
      <c r="R12" s="63">
        <v>0</v>
      </c>
      <c r="S12" s="62">
        <v>15000001</v>
      </c>
      <c r="T12" s="63">
        <v>0</v>
      </c>
    </row>
    <row r="13" spans="1:31" ht="15" customHeight="1">
      <c r="A13" s="58" t="s">
        <v>46</v>
      </c>
      <c r="B13" s="64" t="str">
        <f t="shared" ref="B13:L13" si="5">IF(B11&gt;B12,"所得割課税","所得割非課税")</f>
        <v>所得割課税</v>
      </c>
      <c r="C13" s="65" t="str">
        <f t="shared" si="5"/>
        <v>所得割課税</v>
      </c>
      <c r="D13" s="66" t="str">
        <f t="shared" si="5"/>
        <v>所得割非課税</v>
      </c>
      <c r="E13" s="67" t="str">
        <f t="shared" si="5"/>
        <v>所得割非課税</v>
      </c>
      <c r="F13" s="66" t="str">
        <f t="shared" si="5"/>
        <v>所得割非課税</v>
      </c>
      <c r="G13" s="66" t="str">
        <f t="shared" si="5"/>
        <v>所得割非課税</v>
      </c>
      <c r="H13" s="66" t="str">
        <f t="shared" si="5"/>
        <v>所得割非課税</v>
      </c>
      <c r="I13" s="66" t="str">
        <f t="shared" si="5"/>
        <v>所得割非課税</v>
      </c>
      <c r="J13" s="66" t="str">
        <f t="shared" si="5"/>
        <v>所得割非課税</v>
      </c>
      <c r="K13" s="68" t="str">
        <f t="shared" si="5"/>
        <v>所得割非課税</v>
      </c>
      <c r="L13" s="225" t="str">
        <f t="shared" si="5"/>
        <v>所得割課税</v>
      </c>
      <c r="M13" s="6"/>
      <c r="N13" s="6"/>
      <c r="O13" s="6"/>
      <c r="Q13" s="69" t="s">
        <v>23</v>
      </c>
      <c r="R13" s="70"/>
      <c r="S13" s="69" t="s">
        <v>49</v>
      </c>
      <c r="T13" s="70"/>
    </row>
    <row r="14" spans="1:31" ht="15" customHeight="1">
      <c r="A14" s="58" t="s">
        <v>47</v>
      </c>
      <c r="B14" s="50">
        <f t="shared" ref="B14:L14" si="6">IF(($M$2+$M$4+$M$5+$M$6+$M$7)&gt;=1,350000*($M$2+$M$4+$M$5+$M$6+$M$7+1)+210000,350000)</f>
        <v>350000</v>
      </c>
      <c r="C14" s="51">
        <f t="shared" si="6"/>
        <v>350000</v>
      </c>
      <c r="D14" s="59">
        <f t="shared" si="6"/>
        <v>350000</v>
      </c>
      <c r="E14" s="60">
        <f t="shared" si="6"/>
        <v>350000</v>
      </c>
      <c r="F14" s="59">
        <f t="shared" si="6"/>
        <v>350000</v>
      </c>
      <c r="G14" s="59">
        <f t="shared" si="6"/>
        <v>350000</v>
      </c>
      <c r="H14" s="59">
        <f t="shared" si="6"/>
        <v>350000</v>
      </c>
      <c r="I14" s="59">
        <f t="shared" si="6"/>
        <v>350000</v>
      </c>
      <c r="J14" s="59">
        <f t="shared" si="6"/>
        <v>350000</v>
      </c>
      <c r="K14" s="61">
        <f t="shared" si="6"/>
        <v>350000</v>
      </c>
      <c r="L14" s="224">
        <f t="shared" si="6"/>
        <v>350000</v>
      </c>
      <c r="M14" s="6"/>
      <c r="N14" s="6"/>
      <c r="O14" s="6"/>
      <c r="Q14" s="29">
        <v>0</v>
      </c>
      <c r="R14" s="71">
        <v>650000</v>
      </c>
      <c r="S14" s="29">
        <v>0</v>
      </c>
      <c r="T14" s="71">
        <v>650000</v>
      </c>
    </row>
    <row r="15" spans="1:31" ht="15" customHeight="1">
      <c r="A15" s="58" t="s">
        <v>48</v>
      </c>
      <c r="B15" s="64" t="str">
        <f t="shared" ref="B15:L15" si="7">IF(B11&gt;B14,"均等割課税","均等割非課税")</f>
        <v>均等割課税</v>
      </c>
      <c r="C15" s="64" t="str">
        <f t="shared" si="7"/>
        <v>均等割課税</v>
      </c>
      <c r="D15" s="66" t="str">
        <f t="shared" si="7"/>
        <v>均等割非課税</v>
      </c>
      <c r="E15" s="67" t="str">
        <f t="shared" si="7"/>
        <v>均等割非課税</v>
      </c>
      <c r="F15" s="66" t="str">
        <f t="shared" si="7"/>
        <v>均等割非課税</v>
      </c>
      <c r="G15" s="66" t="str">
        <f t="shared" si="7"/>
        <v>均等割非課税</v>
      </c>
      <c r="H15" s="66" t="str">
        <f t="shared" si="7"/>
        <v>均等割非課税</v>
      </c>
      <c r="I15" s="66" t="str">
        <f t="shared" si="7"/>
        <v>均等割非課税</v>
      </c>
      <c r="J15" s="66" t="str">
        <f t="shared" si="7"/>
        <v>均等割非課税</v>
      </c>
      <c r="K15" s="68" t="str">
        <f t="shared" si="7"/>
        <v>均等割非課税</v>
      </c>
      <c r="L15" s="225" t="str">
        <f t="shared" si="7"/>
        <v>均等割課税</v>
      </c>
      <c r="M15" s="6"/>
      <c r="N15" s="6"/>
      <c r="O15" s="6"/>
      <c r="Q15" s="29">
        <v>1625001</v>
      </c>
      <c r="R15" s="71">
        <v>0</v>
      </c>
      <c r="S15" s="29">
        <v>1625001</v>
      </c>
      <c r="T15" s="71">
        <v>0</v>
      </c>
    </row>
    <row r="16" spans="1:31" ht="15" customHeight="1">
      <c r="A16" s="49"/>
      <c r="B16" s="50"/>
      <c r="C16" s="51"/>
      <c r="D16" s="6"/>
      <c r="E16" s="52"/>
      <c r="F16" s="6"/>
      <c r="G16" s="6"/>
      <c r="H16" s="6"/>
      <c r="I16" s="6"/>
      <c r="J16" s="6"/>
      <c r="K16" s="72"/>
      <c r="L16" s="223"/>
      <c r="M16" s="6"/>
      <c r="N16" s="6"/>
      <c r="O16" s="6"/>
      <c r="Q16" s="29">
        <v>1800001</v>
      </c>
      <c r="R16" s="71">
        <v>180000</v>
      </c>
      <c r="S16" s="29">
        <v>1800001</v>
      </c>
      <c r="T16" s="71">
        <v>180000</v>
      </c>
    </row>
    <row r="17" spans="1:20" ht="15" customHeight="1">
      <c r="A17" s="49" t="s">
        <v>20</v>
      </c>
      <c r="B17" s="50">
        <f>B9*VLOOKUP(B9,$Q$23:$R$25,2)+VLOOKUP(B9,$Q$27:$R$29,2)</f>
        <v>700000</v>
      </c>
      <c r="C17" s="51">
        <f>C9*VLOOKUP(C9,$Q$23:$R$25,2)+VLOOKUP(C9,$Q$27:$R$29,2)</f>
        <v>700000</v>
      </c>
      <c r="D17" s="6">
        <f>D9*VLOOKUP(D9,$Q$23:$R$25,2)+VLOOKUP(D9,$Q$27:$R$29,2)</f>
        <v>0</v>
      </c>
      <c r="E17" s="52">
        <f t="shared" ref="E17:I17" si="8">E9*VLOOKUP(E9,$Q$23:$R$25,2)+VLOOKUP(E9,$Q$27:$R$29,2)</f>
        <v>0</v>
      </c>
      <c r="F17" s="6">
        <f t="shared" si="8"/>
        <v>0</v>
      </c>
      <c r="G17" s="6">
        <f t="shared" si="8"/>
        <v>0</v>
      </c>
      <c r="H17" s="6">
        <f t="shared" si="8"/>
        <v>0</v>
      </c>
      <c r="I17" s="6">
        <f t="shared" si="8"/>
        <v>0</v>
      </c>
      <c r="J17" s="6">
        <f>J9*VLOOKUP(J9,$Q$23:$R$25,2)+VLOOKUP(J9,$Q$27:$R$29,2)</f>
        <v>0</v>
      </c>
      <c r="K17" s="72">
        <f>K9*VLOOKUP(K9,$Q$23:$R$25,2)+VLOOKUP(K9,$Q$27:$R$29,2)</f>
        <v>0</v>
      </c>
      <c r="L17" s="223">
        <f>L9*VLOOKUP(L9,$Q$23:$R$25,2)+VLOOKUP(L9,$Q$27:$R$29,2)</f>
        <v>1140000</v>
      </c>
      <c r="M17" s="6"/>
      <c r="N17" s="6"/>
      <c r="O17" s="6"/>
      <c r="Q17" s="29">
        <v>3600001</v>
      </c>
      <c r="R17" s="71">
        <v>540000</v>
      </c>
      <c r="S17" s="29">
        <v>3600001</v>
      </c>
      <c r="T17" s="71">
        <v>540000</v>
      </c>
    </row>
    <row r="18" spans="1:20" ht="15" customHeight="1">
      <c r="A18" s="49" t="s">
        <v>21</v>
      </c>
      <c r="B18" s="50">
        <f t="shared" ref="B18:L18" si="9">IF($M$2=1,$R$32,0)</f>
        <v>0</v>
      </c>
      <c r="C18" s="51">
        <f t="shared" si="9"/>
        <v>0</v>
      </c>
      <c r="D18" s="6">
        <f t="shared" si="9"/>
        <v>0</v>
      </c>
      <c r="E18" s="52">
        <f t="shared" si="9"/>
        <v>0</v>
      </c>
      <c r="F18" s="6">
        <f t="shared" si="9"/>
        <v>0</v>
      </c>
      <c r="G18" s="6">
        <f t="shared" si="9"/>
        <v>0</v>
      </c>
      <c r="H18" s="6">
        <f t="shared" si="9"/>
        <v>0</v>
      </c>
      <c r="I18" s="6">
        <f t="shared" si="9"/>
        <v>0</v>
      </c>
      <c r="J18" s="6">
        <f t="shared" si="9"/>
        <v>0</v>
      </c>
      <c r="K18" s="72">
        <f t="shared" si="9"/>
        <v>0</v>
      </c>
      <c r="L18" s="223">
        <f t="shared" si="9"/>
        <v>0</v>
      </c>
      <c r="M18" s="6"/>
      <c r="N18" s="6"/>
      <c r="O18" s="6"/>
      <c r="Q18" s="29">
        <v>6600001</v>
      </c>
      <c r="R18" s="71">
        <v>1200000</v>
      </c>
      <c r="S18" s="29">
        <v>6600001</v>
      </c>
      <c r="T18" s="71">
        <v>1200000</v>
      </c>
    </row>
    <row r="19" spans="1:20" ht="15" customHeight="1" thickBot="1">
      <c r="A19" s="49" t="s">
        <v>22</v>
      </c>
      <c r="B19" s="50">
        <f t="shared" ref="B19:L19" si="10">IF(B11&lt;10000000,IF($M$2=1,$R$33,0),0)</f>
        <v>0</v>
      </c>
      <c r="C19" s="51">
        <f t="shared" si="10"/>
        <v>0</v>
      </c>
      <c r="D19" s="6">
        <f t="shared" si="10"/>
        <v>0</v>
      </c>
      <c r="E19" s="52">
        <f>IF(E11&lt;10000000,IF($M$2=1,$R$33,0),0)</f>
        <v>0</v>
      </c>
      <c r="F19" s="6">
        <f t="shared" si="10"/>
        <v>0</v>
      </c>
      <c r="G19" s="6">
        <f t="shared" si="10"/>
        <v>0</v>
      </c>
      <c r="H19" s="6">
        <f t="shared" si="10"/>
        <v>0</v>
      </c>
      <c r="I19" s="6">
        <f t="shared" si="10"/>
        <v>0</v>
      </c>
      <c r="J19" s="6">
        <f t="shared" si="10"/>
        <v>0</v>
      </c>
      <c r="K19" s="72">
        <f t="shared" si="10"/>
        <v>0</v>
      </c>
      <c r="L19" s="223">
        <f t="shared" si="10"/>
        <v>0</v>
      </c>
      <c r="M19" s="6"/>
      <c r="N19" s="6"/>
      <c r="O19" s="6"/>
      <c r="Q19" s="73">
        <v>10000001</v>
      </c>
      <c r="R19" s="74">
        <v>1700000</v>
      </c>
      <c r="S19" s="73">
        <v>10000001</v>
      </c>
      <c r="T19" s="74">
        <v>1700000</v>
      </c>
    </row>
    <row r="20" spans="1:20" ht="15" customHeight="1" thickBot="1">
      <c r="A20" s="49" t="s">
        <v>24</v>
      </c>
      <c r="B20" s="50">
        <f t="shared" ref="B20:L20" si="11">IF($M$5&gt;0,$M$5*$R$34,0)+IF($M$6&gt;0,$M$6*$R$35)+IF($M$7&gt;0,$M$7*$R$34,0)</f>
        <v>0</v>
      </c>
      <c r="C20" s="51">
        <f t="shared" si="11"/>
        <v>0</v>
      </c>
      <c r="D20" s="6">
        <f t="shared" si="11"/>
        <v>0</v>
      </c>
      <c r="E20" s="52">
        <f t="shared" si="11"/>
        <v>0</v>
      </c>
      <c r="F20" s="6">
        <f t="shared" si="11"/>
        <v>0</v>
      </c>
      <c r="G20" s="6">
        <f t="shared" si="11"/>
        <v>0</v>
      </c>
      <c r="H20" s="6">
        <f t="shared" si="11"/>
        <v>0</v>
      </c>
      <c r="I20" s="6">
        <f t="shared" si="11"/>
        <v>0</v>
      </c>
      <c r="J20" s="6">
        <f t="shared" si="11"/>
        <v>0</v>
      </c>
      <c r="K20" s="72">
        <f t="shared" si="11"/>
        <v>0</v>
      </c>
      <c r="L20" s="223">
        <f t="shared" si="11"/>
        <v>0</v>
      </c>
      <c r="M20" s="6"/>
      <c r="N20" s="6"/>
      <c r="O20" s="6"/>
      <c r="Q20" s="62">
        <v>15000001</v>
      </c>
      <c r="R20" s="75">
        <v>2450000</v>
      </c>
      <c r="S20" s="62">
        <v>15000001</v>
      </c>
      <c r="T20" s="75">
        <v>2450000</v>
      </c>
    </row>
    <row r="21" spans="1:20" ht="15" customHeight="1">
      <c r="A21" s="49" t="s">
        <v>25</v>
      </c>
      <c r="B21" s="50">
        <f>$R$31</f>
        <v>330000</v>
      </c>
      <c r="C21" s="51">
        <f>$R$31</f>
        <v>330000</v>
      </c>
      <c r="D21" s="6">
        <f>$R$31</f>
        <v>330000</v>
      </c>
      <c r="E21" s="52">
        <f t="shared" ref="E21:I21" si="12">$R$31</f>
        <v>330000</v>
      </c>
      <c r="F21" s="6">
        <f t="shared" si="12"/>
        <v>330000</v>
      </c>
      <c r="G21" s="6">
        <f t="shared" si="12"/>
        <v>330000</v>
      </c>
      <c r="H21" s="6">
        <f t="shared" si="12"/>
        <v>330000</v>
      </c>
      <c r="I21" s="6">
        <f t="shared" si="12"/>
        <v>330000</v>
      </c>
      <c r="J21" s="6">
        <f>$R$31</f>
        <v>330000</v>
      </c>
      <c r="K21" s="72">
        <f>$R$31</f>
        <v>330000</v>
      </c>
      <c r="L21" s="223">
        <f>$R$31</f>
        <v>330000</v>
      </c>
      <c r="M21" s="6"/>
      <c r="N21" s="6"/>
      <c r="O21" s="6"/>
      <c r="Q21" s="76" t="s">
        <v>29</v>
      </c>
      <c r="R21" s="77"/>
      <c r="S21" s="76" t="s">
        <v>29</v>
      </c>
      <c r="T21" s="77"/>
    </row>
    <row r="22" spans="1:20" ht="15" customHeight="1">
      <c r="A22" s="78" t="s">
        <v>26</v>
      </c>
      <c r="B22" s="50">
        <f t="shared" ref="B22:L22" si="13">SUM(B17:B21)</f>
        <v>1030000</v>
      </c>
      <c r="C22" s="51">
        <f>SUM(C17:C21)</f>
        <v>1030000</v>
      </c>
      <c r="D22" s="79">
        <f>SUM(D17:D21)</f>
        <v>330000</v>
      </c>
      <c r="E22" s="80">
        <f t="shared" ref="E22:I22" si="14">SUM(E17:E21)</f>
        <v>330000</v>
      </c>
      <c r="F22" s="79">
        <f t="shared" si="14"/>
        <v>330000</v>
      </c>
      <c r="G22" s="79">
        <f t="shared" si="14"/>
        <v>330000</v>
      </c>
      <c r="H22" s="79">
        <f t="shared" si="14"/>
        <v>330000</v>
      </c>
      <c r="I22" s="79">
        <f t="shared" si="14"/>
        <v>330000</v>
      </c>
      <c r="J22" s="79">
        <f t="shared" si="13"/>
        <v>330000</v>
      </c>
      <c r="K22" s="81">
        <f t="shared" si="13"/>
        <v>330000</v>
      </c>
      <c r="L22" s="226">
        <f t="shared" si="13"/>
        <v>1470000</v>
      </c>
      <c r="M22" s="6"/>
      <c r="N22" s="6"/>
      <c r="O22" s="6"/>
      <c r="Q22" s="29" t="s">
        <v>55</v>
      </c>
      <c r="R22" s="71"/>
      <c r="S22" s="29" t="s">
        <v>55</v>
      </c>
      <c r="T22" s="71"/>
    </row>
    <row r="23" spans="1:20" ht="15" customHeight="1">
      <c r="A23" s="49"/>
      <c r="B23" s="50"/>
      <c r="C23" s="51"/>
      <c r="D23" s="6"/>
      <c r="E23" s="52"/>
      <c r="F23" s="6"/>
      <c r="G23" s="6"/>
      <c r="H23" s="6"/>
      <c r="I23" s="6"/>
      <c r="J23" s="6"/>
      <c r="K23" s="72"/>
      <c r="L23" s="223"/>
      <c r="M23" s="6"/>
      <c r="N23" s="6"/>
      <c r="O23" s="6"/>
      <c r="Q23" s="29">
        <v>0</v>
      </c>
      <c r="R23" s="34">
        <v>0.1</v>
      </c>
      <c r="S23" s="29">
        <v>0</v>
      </c>
      <c r="T23" s="34">
        <v>0.1</v>
      </c>
    </row>
    <row r="24" spans="1:20" ht="15" customHeight="1">
      <c r="A24" s="49" t="s">
        <v>27</v>
      </c>
      <c r="B24" s="50">
        <f>ROUNDDOWN(IF(B11-B22&lt;0,0,B11-B22),-3)</f>
        <v>4070000</v>
      </c>
      <c r="C24" s="51">
        <f t="shared" ref="C24:L24" si="15">ROUNDDOWN(IF(C11-C22&lt;0,0,C11-C22),-3)</f>
        <v>4070000</v>
      </c>
      <c r="D24" s="53">
        <f t="shared" si="15"/>
        <v>0</v>
      </c>
      <c r="E24" s="54">
        <f t="shared" si="15"/>
        <v>0</v>
      </c>
      <c r="F24" s="53">
        <f t="shared" si="15"/>
        <v>0</v>
      </c>
      <c r="G24" s="53">
        <f t="shared" si="15"/>
        <v>0</v>
      </c>
      <c r="H24" s="53">
        <f t="shared" si="15"/>
        <v>0</v>
      </c>
      <c r="I24" s="53">
        <f t="shared" si="15"/>
        <v>0</v>
      </c>
      <c r="J24" s="53">
        <f>ROUNDDOWN(IF(J11-J22&lt;0,0,J11-J22),-3)</f>
        <v>0</v>
      </c>
      <c r="K24" s="55">
        <f t="shared" si="15"/>
        <v>0</v>
      </c>
      <c r="L24" s="223">
        <f t="shared" si="15"/>
        <v>281830000</v>
      </c>
      <c r="M24" s="6"/>
      <c r="N24" s="6"/>
      <c r="O24" s="6"/>
      <c r="Q24" s="29">
        <v>9000001</v>
      </c>
      <c r="R24" s="34">
        <v>0.04</v>
      </c>
      <c r="S24" s="29">
        <v>9000001</v>
      </c>
      <c r="T24" s="34">
        <v>0.04</v>
      </c>
    </row>
    <row r="25" spans="1:20" ht="15" customHeight="1">
      <c r="A25" s="82" t="s">
        <v>56</v>
      </c>
      <c r="B25" s="50">
        <f t="shared" ref="B25:L25" si="16">ROUNDDOWN(B24*VLOOKUP(B24,$O$38:$P$41,2)-VLOOKUP(B24,$Q$48:$R$51,2),-2)</f>
        <v>244200</v>
      </c>
      <c r="C25" s="50">
        <f t="shared" si="16"/>
        <v>244200</v>
      </c>
      <c r="D25" s="83">
        <f t="shared" si="16"/>
        <v>0</v>
      </c>
      <c r="E25" s="84">
        <f t="shared" si="16"/>
        <v>0</v>
      </c>
      <c r="F25" s="83">
        <f t="shared" si="16"/>
        <v>0</v>
      </c>
      <c r="G25" s="83">
        <f t="shared" si="16"/>
        <v>0</v>
      </c>
      <c r="H25" s="83">
        <f t="shared" si="16"/>
        <v>0</v>
      </c>
      <c r="I25" s="83">
        <f t="shared" si="16"/>
        <v>0</v>
      </c>
      <c r="J25" s="83">
        <f t="shared" si="16"/>
        <v>0</v>
      </c>
      <c r="K25" s="85">
        <f t="shared" si="16"/>
        <v>0</v>
      </c>
      <c r="L25" s="227">
        <f t="shared" si="16"/>
        <v>16909800</v>
      </c>
      <c r="M25" s="53"/>
      <c r="N25" s="53"/>
      <c r="O25" s="6"/>
      <c r="Q25" s="56">
        <v>15000001</v>
      </c>
      <c r="R25" s="57">
        <v>0</v>
      </c>
      <c r="S25" s="56">
        <v>15000001</v>
      </c>
      <c r="T25" s="57">
        <v>0</v>
      </c>
    </row>
    <row r="26" spans="1:20" ht="15" customHeight="1">
      <c r="A26" s="82" t="s">
        <v>57</v>
      </c>
      <c r="B26" s="50">
        <f t="shared" ref="B26:L26" si="17">ROUNDDOWN(B24*VLOOKUP(B24,$Q$38:$R$41,2)-VLOOKUP(B24,$Q$48:$R$51,2),-2)</f>
        <v>162800</v>
      </c>
      <c r="C26" s="50">
        <f t="shared" si="17"/>
        <v>162800</v>
      </c>
      <c r="D26" s="83">
        <f t="shared" si="17"/>
        <v>0</v>
      </c>
      <c r="E26" s="84">
        <f t="shared" si="17"/>
        <v>0</v>
      </c>
      <c r="F26" s="83">
        <f t="shared" si="17"/>
        <v>0</v>
      </c>
      <c r="G26" s="83">
        <f t="shared" si="17"/>
        <v>0</v>
      </c>
      <c r="H26" s="83">
        <f t="shared" si="17"/>
        <v>0</v>
      </c>
      <c r="I26" s="83">
        <f t="shared" si="17"/>
        <v>0</v>
      </c>
      <c r="J26" s="83">
        <f t="shared" si="17"/>
        <v>0</v>
      </c>
      <c r="K26" s="85">
        <f t="shared" si="17"/>
        <v>0</v>
      </c>
      <c r="L26" s="227">
        <f t="shared" si="17"/>
        <v>11273200</v>
      </c>
      <c r="M26" s="53"/>
      <c r="N26" s="53"/>
      <c r="O26" s="6"/>
      <c r="Q26" s="29" t="s">
        <v>49</v>
      </c>
      <c r="R26" s="71"/>
      <c r="S26" s="29" t="s">
        <v>55</v>
      </c>
      <c r="T26" s="71"/>
    </row>
    <row r="27" spans="1:20" ht="15" customHeight="1">
      <c r="A27" s="49" t="s">
        <v>28</v>
      </c>
      <c r="B27" s="86">
        <f t="shared" ref="B27:L27" si="18">-(IF($M$2=1,$R$58,0)+IF(B11&lt;10000000,IF($M$2=1,$R$59,0),0)+IF(($M$5+$M$7)&gt;0,($M$5+$M$7)*$R$60,0)+IF($M$6&gt;0,$M$6*$R$61)+$R$57)+(IF($M$2=1,$T$58,0)+IF(B59&lt;10000000,IF($M$2=1,$T$59,0),0)+IF(($M$5+$M$7)&gt;0,($M$5+$M$7)*$T$60,0)+IF($M$6&gt;0,$M$6*$T$61)+$T$57)</f>
        <v>50000</v>
      </c>
      <c r="C27" s="87">
        <f t="shared" si="18"/>
        <v>50000</v>
      </c>
      <c r="D27" s="88">
        <f t="shared" si="18"/>
        <v>50000</v>
      </c>
      <c r="E27" s="89">
        <f t="shared" si="18"/>
        <v>50000</v>
      </c>
      <c r="F27" s="88">
        <f t="shared" si="18"/>
        <v>50000</v>
      </c>
      <c r="G27" s="88">
        <f t="shared" si="18"/>
        <v>50000</v>
      </c>
      <c r="H27" s="88">
        <f t="shared" si="18"/>
        <v>50000</v>
      </c>
      <c r="I27" s="88">
        <f t="shared" si="18"/>
        <v>50000</v>
      </c>
      <c r="J27" s="88">
        <f t="shared" si="18"/>
        <v>50000</v>
      </c>
      <c r="K27" s="90">
        <f t="shared" si="18"/>
        <v>50000</v>
      </c>
      <c r="L27" s="228">
        <f t="shared" si="18"/>
        <v>50000</v>
      </c>
      <c r="M27" s="53"/>
      <c r="N27" s="53"/>
      <c r="O27" s="53"/>
      <c r="Q27" s="29">
        <v>0</v>
      </c>
      <c r="R27" s="71">
        <v>0</v>
      </c>
      <c r="S27" s="29">
        <v>0</v>
      </c>
      <c r="T27" s="71">
        <v>0</v>
      </c>
    </row>
    <row r="28" spans="1:20" ht="15" customHeight="1">
      <c r="A28" s="82" t="s">
        <v>58</v>
      </c>
      <c r="B28" s="50">
        <f>IF(B24&gt;2000000,IF(((B27-(B24-2000000))*0.03)&lt;=1500,1500,((B27-(B24-2000000))*0.03)),IF(B24&gt;B27,B27*0.03,B24*0.03))</f>
        <v>1500</v>
      </c>
      <c r="C28" s="50">
        <f>IF(C24&gt;2000000,IF(((C27-(C24-2000000))*0.03)&lt;=1500,1500,((C27-(C24-2000000))*0.03)),IF(C24&gt;C27,C27*0.03,C24*0.03))</f>
        <v>1500</v>
      </c>
      <c r="D28" s="83">
        <f>IF(D24&gt;2000000,IF(((D27-(D24-2000000))*0.03)&lt;=1500,1500,((D27-(D24-2000000))*0.03)),IF(D24&gt;D27,D27*0.03,D24*0.03))</f>
        <v>0</v>
      </c>
      <c r="E28" s="84">
        <f t="shared" ref="E28:I28" si="19">IF(E24&gt;2000000,IF(((E27-(E24-2000000))*0.03)&lt;=1500,1500,((E27-(E24-2000000))*0.03)),IF(E24&gt;E27,E27*0.03,E24*0.03))</f>
        <v>0</v>
      </c>
      <c r="F28" s="83">
        <f t="shared" si="19"/>
        <v>0</v>
      </c>
      <c r="G28" s="83">
        <f t="shared" si="19"/>
        <v>0</v>
      </c>
      <c r="H28" s="83">
        <f t="shared" si="19"/>
        <v>0</v>
      </c>
      <c r="I28" s="83">
        <f t="shared" si="19"/>
        <v>0</v>
      </c>
      <c r="J28" s="83">
        <f>IF(J24&gt;2000000,IF(((J27-(J24-2000000))*0.03)&lt;=1500,1500,((J27-(J24-2000000))*0.03)),IF(J24&gt;J27,J27*0.03,J24*0.03))</f>
        <v>0</v>
      </c>
      <c r="K28" s="85">
        <f>IF(K24&gt;2000000,IF(((K27-(K24-2000000))*0.03)&lt;=1500,1500,((K27-(K24-2000000))*0.03)),IF(K24&gt;K27,K27*0.03,K24*0.03))</f>
        <v>0</v>
      </c>
      <c r="L28" s="227">
        <f>IF(L24&gt;2000000,IF(((L27-(L24-2000000))*0.03)&lt;=1500,1500,((L27-(L24-2000000))*0.03)),IF(L24&gt;L27,L27*0.03,L24*0.03))</f>
        <v>1500</v>
      </c>
      <c r="M28" s="91"/>
      <c r="N28" s="91"/>
      <c r="O28" s="53"/>
      <c r="Q28" s="29">
        <v>9000001</v>
      </c>
      <c r="R28" s="71">
        <v>540000</v>
      </c>
      <c r="S28" s="29">
        <v>9000001</v>
      </c>
      <c r="T28" s="71">
        <v>540000</v>
      </c>
    </row>
    <row r="29" spans="1:20" ht="15" customHeight="1" thickBot="1">
      <c r="A29" s="82" t="s">
        <v>59</v>
      </c>
      <c r="B29" s="50">
        <f>IF(B24&gt;2000000,IF(((B27-(B24-2000000))*0.02)&lt;=1000,1000,((B27-(B24-2000000))*0.02)),IF(B24&gt;B27,B27*0.02,B24*0.02))</f>
        <v>1000</v>
      </c>
      <c r="C29" s="50">
        <f>IF(C24&gt;2000000,IF(((C27-(C24-2000000))*0.02)&lt;=1000,1000,((C27-(C24-2000000))*0.02)),IF(C24&gt;C27,C27*0.02,C24*0.02))</f>
        <v>1000</v>
      </c>
      <c r="D29" s="83">
        <f>IF(D24&gt;2000000,IF(((D27-(D24-2000000))*0.02)&lt;=1000,1000,((D27-(D24-2000000))*0.02)),IF(D24&gt;D27,D27*0.02,D24*0.02))</f>
        <v>0</v>
      </c>
      <c r="E29" s="84">
        <f t="shared" ref="E29:I29" si="20">IF(E24&gt;2000000,IF(((E27-(E24-2000000))*0.02)&lt;=1000,1000,((E27-(E24-2000000))*0.02)),IF(E24&gt;E27,E27*0.02,E24*0.02))</f>
        <v>0</v>
      </c>
      <c r="F29" s="83">
        <f t="shared" si="20"/>
        <v>0</v>
      </c>
      <c r="G29" s="83">
        <f t="shared" si="20"/>
        <v>0</v>
      </c>
      <c r="H29" s="83">
        <f t="shared" si="20"/>
        <v>0</v>
      </c>
      <c r="I29" s="83">
        <f t="shared" si="20"/>
        <v>0</v>
      </c>
      <c r="J29" s="83">
        <f>IF(J24&gt;2000000,IF(((J27-(J24-2000000))*0.02)&lt;=1000,1000,((J27-(J24-2000000))*0.02)),IF(J24&gt;J27,J27*0.02,J24*0.02))</f>
        <v>0</v>
      </c>
      <c r="K29" s="85">
        <f>IF(K24&gt;2000000,IF(((K27-(K24-2000000))*0.02)&lt;=1000,1000,((K27-(K24-2000000))*0.02)),IF(K24&gt;K27,K27*0.02,K24*0.02))</f>
        <v>0</v>
      </c>
      <c r="L29" s="227">
        <f>IF(L24&gt;2000000,IF(((L27-(L24-2000000))*0.02)&lt;=1000,1000,((L27-(L24-2000000))*0.02)),IF(L24&gt;L27,L27*0.02,L24*0.02))</f>
        <v>1000</v>
      </c>
      <c r="M29" s="91"/>
      <c r="N29" s="91"/>
      <c r="O29" s="53"/>
      <c r="Q29" s="73">
        <v>15000001</v>
      </c>
      <c r="R29" s="74">
        <v>1140000</v>
      </c>
      <c r="S29" s="73">
        <v>15000001</v>
      </c>
      <c r="T29" s="74">
        <v>1140000</v>
      </c>
    </row>
    <row r="30" spans="1:20" ht="15" customHeight="1">
      <c r="A30" s="82" t="s">
        <v>61</v>
      </c>
      <c r="B30" s="50">
        <f>B25-B28</f>
        <v>242700</v>
      </c>
      <c r="C30" s="50">
        <f t="shared" ref="C30:L31" si="21">C25-C28</f>
        <v>242700</v>
      </c>
      <c r="D30" s="83">
        <f t="shared" si="21"/>
        <v>0</v>
      </c>
      <c r="E30" s="84">
        <f>E25-E28</f>
        <v>0</v>
      </c>
      <c r="F30" s="83">
        <f t="shared" si="21"/>
        <v>0</v>
      </c>
      <c r="G30" s="83">
        <f t="shared" si="21"/>
        <v>0</v>
      </c>
      <c r="H30" s="83">
        <f t="shared" si="21"/>
        <v>0</v>
      </c>
      <c r="I30" s="83">
        <f t="shared" si="21"/>
        <v>0</v>
      </c>
      <c r="J30" s="83">
        <f>J25-J28</f>
        <v>0</v>
      </c>
      <c r="K30" s="85">
        <f t="shared" si="21"/>
        <v>0</v>
      </c>
      <c r="L30" s="227">
        <f t="shared" si="21"/>
        <v>16908300</v>
      </c>
      <c r="M30" s="53"/>
      <c r="N30" s="53"/>
      <c r="O30" s="91"/>
      <c r="Q30" s="92" t="s">
        <v>31</v>
      </c>
      <c r="R30" s="93"/>
      <c r="S30" s="92" t="s">
        <v>31</v>
      </c>
      <c r="T30" s="93"/>
    </row>
    <row r="31" spans="1:20" ht="15" customHeight="1">
      <c r="A31" s="82" t="s">
        <v>63</v>
      </c>
      <c r="B31" s="50">
        <f>B26-B29</f>
        <v>161800</v>
      </c>
      <c r="C31" s="50">
        <f t="shared" si="21"/>
        <v>161800</v>
      </c>
      <c r="D31" s="83">
        <f t="shared" si="21"/>
        <v>0</v>
      </c>
      <c r="E31" s="84">
        <f t="shared" si="21"/>
        <v>0</v>
      </c>
      <c r="F31" s="83">
        <f t="shared" si="21"/>
        <v>0</v>
      </c>
      <c r="G31" s="83">
        <f t="shared" si="21"/>
        <v>0</v>
      </c>
      <c r="H31" s="83">
        <f t="shared" si="21"/>
        <v>0</v>
      </c>
      <c r="I31" s="83">
        <f t="shared" si="21"/>
        <v>0</v>
      </c>
      <c r="J31" s="83">
        <f t="shared" si="21"/>
        <v>0</v>
      </c>
      <c r="K31" s="85">
        <f t="shared" si="21"/>
        <v>0</v>
      </c>
      <c r="L31" s="227">
        <f t="shared" si="21"/>
        <v>11272200</v>
      </c>
      <c r="M31" s="53"/>
      <c r="N31" s="53"/>
      <c r="O31" s="91"/>
      <c r="Q31" s="94" t="s">
        <v>60</v>
      </c>
      <c r="R31" s="95">
        <v>330000</v>
      </c>
      <c r="S31" s="96" t="s">
        <v>60</v>
      </c>
      <c r="T31" s="95">
        <v>380000</v>
      </c>
    </row>
    <row r="32" spans="1:20" ht="15" customHeight="1">
      <c r="A32" s="97" t="s">
        <v>64</v>
      </c>
      <c r="B32" s="50">
        <f>SUM(B30:B31)</f>
        <v>404500</v>
      </c>
      <c r="C32" s="50">
        <f t="shared" ref="C32:L32" si="22">SUM(C30:C31)</f>
        <v>404500</v>
      </c>
      <c r="D32" s="98">
        <f t="shared" si="22"/>
        <v>0</v>
      </c>
      <c r="E32" s="99">
        <f>SUM(E30:E31)</f>
        <v>0</v>
      </c>
      <c r="F32" s="98">
        <f t="shared" si="22"/>
        <v>0</v>
      </c>
      <c r="G32" s="98">
        <f t="shared" si="22"/>
        <v>0</v>
      </c>
      <c r="H32" s="98">
        <f t="shared" si="22"/>
        <v>0</v>
      </c>
      <c r="I32" s="98">
        <f t="shared" si="22"/>
        <v>0</v>
      </c>
      <c r="J32" s="98">
        <f>SUM(J30:J31)</f>
        <v>0</v>
      </c>
      <c r="K32" s="100">
        <f t="shared" si="22"/>
        <v>0</v>
      </c>
      <c r="L32" s="229">
        <f t="shared" si="22"/>
        <v>28180500</v>
      </c>
      <c r="M32" s="53"/>
      <c r="N32" s="53"/>
      <c r="O32" s="53"/>
      <c r="Q32" s="94" t="s">
        <v>62</v>
      </c>
      <c r="R32" s="95">
        <v>330000</v>
      </c>
      <c r="S32" s="96" t="s">
        <v>62</v>
      </c>
      <c r="T32" s="95">
        <v>380000</v>
      </c>
    </row>
    <row r="33" spans="1:24" ht="15" customHeight="1">
      <c r="A33" s="101" t="s">
        <v>50</v>
      </c>
      <c r="B33" s="64" t="str">
        <f>IF(B13="所得割非課税","所得割非課税",IF(B12&gt;(B11-B32),"調整あり","調整なし"))</f>
        <v>調整なし</v>
      </c>
      <c r="C33" s="64" t="str">
        <f t="shared" ref="C33:L33" si="23">IF(C13="所得割非課税","所得割非課税",IF(C12&gt;(C11-C32),"調整あり","調整なし"))</f>
        <v>調整なし</v>
      </c>
      <c r="D33" s="102" t="str">
        <f t="shared" si="23"/>
        <v>所得割非課税</v>
      </c>
      <c r="E33" s="103" t="str">
        <f t="shared" si="23"/>
        <v>所得割非課税</v>
      </c>
      <c r="F33" s="102" t="str">
        <f t="shared" si="23"/>
        <v>所得割非課税</v>
      </c>
      <c r="G33" s="102" t="str">
        <f t="shared" si="23"/>
        <v>所得割非課税</v>
      </c>
      <c r="H33" s="102" t="str">
        <f t="shared" si="23"/>
        <v>所得割非課税</v>
      </c>
      <c r="I33" s="102" t="str">
        <f t="shared" si="23"/>
        <v>所得割非課税</v>
      </c>
      <c r="J33" s="102" t="str">
        <f t="shared" si="23"/>
        <v>所得割非課税</v>
      </c>
      <c r="K33" s="104" t="str">
        <f t="shared" si="23"/>
        <v>所得割非課税</v>
      </c>
      <c r="L33" s="230" t="str">
        <f t="shared" si="23"/>
        <v>調整なし</v>
      </c>
      <c r="M33" s="105" t="s">
        <v>66</v>
      </c>
      <c r="N33" s="53"/>
      <c r="O33" s="53"/>
      <c r="Q33" s="94" t="s">
        <v>34</v>
      </c>
      <c r="R33" s="95">
        <v>0</v>
      </c>
      <c r="S33" s="96" t="s">
        <v>34</v>
      </c>
      <c r="T33" s="95">
        <v>0</v>
      </c>
      <c r="V33" s="6"/>
      <c r="W33" s="6"/>
      <c r="X33" s="6"/>
    </row>
    <row r="34" spans="1:24" ht="15" customHeight="1">
      <c r="A34" s="101" t="s">
        <v>70</v>
      </c>
      <c r="B34" s="86">
        <f>IF(B33="所得割非課税",0,IF(B33="調整なし",0,(B12-(B11-B32)*B30/B32)))</f>
        <v>0</v>
      </c>
      <c r="C34" s="86">
        <f t="shared" ref="C34:L34" si="24">IF(C33="所得割非課税",0,IF(C33="調整なし",0,(C12-(C11-C32)*C30/C32)))</f>
        <v>0</v>
      </c>
      <c r="D34" s="106">
        <f t="shared" si="24"/>
        <v>0</v>
      </c>
      <c r="E34" s="107">
        <f t="shared" si="24"/>
        <v>0</v>
      </c>
      <c r="F34" s="106">
        <f t="shared" si="24"/>
        <v>0</v>
      </c>
      <c r="G34" s="106">
        <f t="shared" si="24"/>
        <v>0</v>
      </c>
      <c r="H34" s="106">
        <f t="shared" si="24"/>
        <v>0</v>
      </c>
      <c r="I34" s="106">
        <f t="shared" si="24"/>
        <v>0</v>
      </c>
      <c r="J34" s="106">
        <f t="shared" si="24"/>
        <v>0</v>
      </c>
      <c r="K34" s="108">
        <f t="shared" si="24"/>
        <v>0</v>
      </c>
      <c r="L34" s="231">
        <f t="shared" si="24"/>
        <v>0</v>
      </c>
      <c r="M34" s="53"/>
      <c r="N34" s="53"/>
      <c r="O34" s="53"/>
      <c r="Q34" s="94" t="s">
        <v>65</v>
      </c>
      <c r="R34" s="95">
        <v>330000</v>
      </c>
      <c r="S34" s="96" t="s">
        <v>65</v>
      </c>
      <c r="T34" s="95">
        <v>380000</v>
      </c>
      <c r="V34" s="10"/>
      <c r="W34" s="109"/>
      <c r="X34" s="6"/>
    </row>
    <row r="35" spans="1:24" ht="15" customHeight="1" thickBot="1">
      <c r="A35" s="110" t="s">
        <v>69</v>
      </c>
      <c r="B35" s="86">
        <f>IF(B33="所得割非課税",0,IF(B33="調整なし",0,(B12-(B11-B32)*B31/B32)))</f>
        <v>0</v>
      </c>
      <c r="C35" s="86">
        <f t="shared" ref="C35:L35" si="25">IF(C33="所得割非課税",0,IF(C33="調整なし",0,(C12-(C11-C32)*C31/C32)))</f>
        <v>0</v>
      </c>
      <c r="D35" s="106">
        <f t="shared" si="25"/>
        <v>0</v>
      </c>
      <c r="E35" s="107">
        <f t="shared" si="25"/>
        <v>0</v>
      </c>
      <c r="F35" s="106">
        <f t="shared" si="25"/>
        <v>0</v>
      </c>
      <c r="G35" s="106">
        <f t="shared" si="25"/>
        <v>0</v>
      </c>
      <c r="H35" s="106">
        <f t="shared" si="25"/>
        <v>0</v>
      </c>
      <c r="I35" s="106">
        <f t="shared" si="25"/>
        <v>0</v>
      </c>
      <c r="J35" s="106">
        <f t="shared" si="25"/>
        <v>0</v>
      </c>
      <c r="K35" s="108">
        <f>IF(K33="所得割非課税",0,IF(K33="調整なし",0,(K12-(K11-K32)*K31/K32)))</f>
        <v>0</v>
      </c>
      <c r="L35" s="231">
        <f t="shared" si="25"/>
        <v>0</v>
      </c>
      <c r="M35" s="53"/>
      <c r="N35" s="53"/>
      <c r="O35" s="53"/>
      <c r="Q35" s="94" t="s">
        <v>35</v>
      </c>
      <c r="R35" s="95">
        <v>450000</v>
      </c>
      <c r="S35" s="96" t="s">
        <v>36</v>
      </c>
      <c r="T35" s="95">
        <v>630000</v>
      </c>
      <c r="V35" s="83"/>
      <c r="W35" s="83"/>
      <c r="X35" s="6"/>
    </row>
    <row r="36" spans="1:24" ht="15" customHeight="1">
      <c r="A36" s="49" t="s">
        <v>71</v>
      </c>
      <c r="B36" s="50">
        <f>IF(B30-B34&gt;0,B30-B34,0)</f>
        <v>242700</v>
      </c>
      <c r="C36" s="50">
        <f t="shared" ref="C36:L37" si="26">IF(C30-C34&gt;0,C30-C34,0)</f>
        <v>242700</v>
      </c>
      <c r="D36" s="83">
        <f t="shared" si="26"/>
        <v>0</v>
      </c>
      <c r="E36" s="84">
        <f t="shared" si="26"/>
        <v>0</v>
      </c>
      <c r="F36" s="83">
        <f t="shared" si="26"/>
        <v>0</v>
      </c>
      <c r="G36" s="83">
        <f t="shared" si="26"/>
        <v>0</v>
      </c>
      <c r="H36" s="83">
        <f t="shared" si="26"/>
        <v>0</v>
      </c>
      <c r="I36" s="83">
        <f t="shared" si="26"/>
        <v>0</v>
      </c>
      <c r="J36" s="83">
        <f t="shared" si="26"/>
        <v>0</v>
      </c>
      <c r="K36" s="85">
        <f t="shared" si="26"/>
        <v>0</v>
      </c>
      <c r="L36" s="227">
        <f t="shared" si="26"/>
        <v>16908300</v>
      </c>
      <c r="M36" s="53"/>
      <c r="N36" s="53"/>
      <c r="O36" s="312" t="s">
        <v>53</v>
      </c>
      <c r="P36" s="313"/>
      <c r="Q36" s="314" t="s">
        <v>67</v>
      </c>
      <c r="R36" s="315"/>
      <c r="S36" s="111"/>
      <c r="T36" s="112"/>
      <c r="V36" s="83"/>
      <c r="W36" s="113"/>
      <c r="X36" s="6"/>
    </row>
    <row r="37" spans="1:24" ht="15" customHeight="1">
      <c r="A37" s="49" t="s">
        <v>72</v>
      </c>
      <c r="B37" s="114">
        <f>IF(B31-B35&gt;0,B31-B35,0)</f>
        <v>161800</v>
      </c>
      <c r="C37" s="50">
        <f t="shared" si="26"/>
        <v>161800</v>
      </c>
      <c r="D37" s="83">
        <f t="shared" si="26"/>
        <v>0</v>
      </c>
      <c r="E37" s="84">
        <f t="shared" si="26"/>
        <v>0</v>
      </c>
      <c r="F37" s="83">
        <f t="shared" si="26"/>
        <v>0</v>
      </c>
      <c r="G37" s="83">
        <f t="shared" si="26"/>
        <v>0</v>
      </c>
      <c r="H37" s="83">
        <f t="shared" si="26"/>
        <v>0</v>
      </c>
      <c r="I37" s="83">
        <f t="shared" si="26"/>
        <v>0</v>
      </c>
      <c r="J37" s="83">
        <f t="shared" si="26"/>
        <v>0</v>
      </c>
      <c r="K37" s="85">
        <f t="shared" si="26"/>
        <v>0</v>
      </c>
      <c r="L37" s="227">
        <f t="shared" si="26"/>
        <v>11272200</v>
      </c>
      <c r="M37" s="53"/>
      <c r="N37" s="53"/>
      <c r="O37" s="29" t="s">
        <v>37</v>
      </c>
      <c r="P37" s="71"/>
      <c r="Q37" s="29" t="s">
        <v>37</v>
      </c>
      <c r="R37" s="71"/>
      <c r="S37" s="29" t="s">
        <v>37</v>
      </c>
      <c r="T37" s="71"/>
      <c r="V37" s="83"/>
      <c r="W37" s="113"/>
      <c r="X37" s="6"/>
    </row>
    <row r="38" spans="1:24" ht="15" customHeight="1" thickBot="1">
      <c r="A38" s="115" t="s">
        <v>73</v>
      </c>
      <c r="B38" s="116">
        <f>SUM(B36:B37)</f>
        <v>404500</v>
      </c>
      <c r="C38" s="117">
        <f>SUM(C36:C37)</f>
        <v>404500</v>
      </c>
      <c r="D38" s="118">
        <f t="shared" ref="D38:L38" si="27">SUM(D36:D37)</f>
        <v>0</v>
      </c>
      <c r="E38" s="119">
        <f t="shared" si="27"/>
        <v>0</v>
      </c>
      <c r="F38" s="118">
        <f t="shared" si="27"/>
        <v>0</v>
      </c>
      <c r="G38" s="118">
        <f t="shared" si="27"/>
        <v>0</v>
      </c>
      <c r="H38" s="118">
        <f t="shared" si="27"/>
        <v>0</v>
      </c>
      <c r="I38" s="118">
        <f t="shared" si="27"/>
        <v>0</v>
      </c>
      <c r="J38" s="118">
        <f t="shared" si="27"/>
        <v>0</v>
      </c>
      <c r="K38" s="120">
        <f t="shared" si="27"/>
        <v>0</v>
      </c>
      <c r="L38" s="232">
        <f t="shared" si="27"/>
        <v>28180500</v>
      </c>
      <c r="M38" s="53"/>
      <c r="N38" s="53"/>
      <c r="O38" s="29">
        <v>-2000000</v>
      </c>
      <c r="P38" s="34">
        <v>0</v>
      </c>
      <c r="Q38" s="29">
        <v>-2000000</v>
      </c>
      <c r="R38" s="34">
        <v>0</v>
      </c>
      <c r="S38" s="29">
        <v>-2000000</v>
      </c>
      <c r="T38" s="293">
        <v>0</v>
      </c>
      <c r="V38" s="83"/>
      <c r="W38" s="113"/>
      <c r="X38" s="6"/>
    </row>
    <row r="39" spans="1:24" ht="15" customHeight="1" thickBot="1">
      <c r="A39" s="121" t="s">
        <v>94</v>
      </c>
      <c r="B39" s="122"/>
      <c r="C39" s="122"/>
      <c r="D39" s="122"/>
      <c r="E39" s="172"/>
      <c r="F39" s="174"/>
      <c r="G39" s="174"/>
      <c r="H39" s="174"/>
      <c r="I39" s="174"/>
      <c r="J39" s="174"/>
      <c r="K39" s="262">
        <f>入力欄!D21</f>
        <v>0</v>
      </c>
      <c r="L39" s="233"/>
      <c r="M39" s="53"/>
      <c r="N39" s="53"/>
      <c r="O39" s="29">
        <v>1</v>
      </c>
      <c r="P39" s="34">
        <v>0.06</v>
      </c>
      <c r="Q39" s="29">
        <v>1</v>
      </c>
      <c r="R39" s="34">
        <v>0.04</v>
      </c>
      <c r="S39" s="29">
        <v>1</v>
      </c>
      <c r="T39" s="293">
        <v>5.1049999999999998E-2</v>
      </c>
      <c r="V39" s="83"/>
      <c r="W39" s="113"/>
      <c r="X39" s="6"/>
    </row>
    <row r="40" spans="1:24" ht="15" customHeight="1" thickTop="1" thickBot="1">
      <c r="A40" s="9" t="s">
        <v>98</v>
      </c>
      <c r="B40" s="10">
        <f>B67</f>
        <v>0</v>
      </c>
      <c r="C40" s="10">
        <f>C67</f>
        <v>0</v>
      </c>
      <c r="D40" s="10">
        <f>D67</f>
        <v>0</v>
      </c>
      <c r="E40" s="11">
        <f>E67</f>
        <v>0</v>
      </c>
      <c r="F40" s="10">
        <f t="shared" ref="F40:K40" si="28">F67</f>
        <v>0</v>
      </c>
      <c r="G40" s="10">
        <f t="shared" si="28"/>
        <v>0</v>
      </c>
      <c r="H40" s="10">
        <f t="shared" si="28"/>
        <v>0</v>
      </c>
      <c r="I40" s="10">
        <f t="shared" si="28"/>
        <v>0</v>
      </c>
      <c r="J40" s="10">
        <f t="shared" si="28"/>
        <v>0</v>
      </c>
      <c r="K40" s="263">
        <f t="shared" si="28"/>
        <v>0</v>
      </c>
      <c r="L40" s="234">
        <f>L67</f>
        <v>0</v>
      </c>
      <c r="M40" s="207">
        <v>0.2</v>
      </c>
      <c r="N40" s="53"/>
      <c r="O40" s="29"/>
      <c r="P40" s="34"/>
      <c r="Q40" s="29"/>
      <c r="R40" s="34"/>
      <c r="S40" s="29">
        <v>1950001</v>
      </c>
      <c r="T40" s="293">
        <v>0.1021</v>
      </c>
      <c r="V40" s="83"/>
      <c r="W40" s="113"/>
      <c r="X40" s="6"/>
    </row>
    <row r="41" spans="1:24" ht="15" customHeight="1" thickTop="1">
      <c r="A41" s="9" t="s">
        <v>95</v>
      </c>
      <c r="B41" s="10"/>
      <c r="C41" s="10"/>
      <c r="D41" s="10"/>
      <c r="E41" s="11">
        <f t="shared" ref="E41:K41" si="29">IF(E39&lt;=2000,0,IF(E11*30%&gt;E39,(E39-2000)*0.1,(E11*30%-2000)*0.1))</f>
        <v>0</v>
      </c>
      <c r="F41" s="10">
        <f>IF(F39&lt;=2000,0,IF(F11*30%&gt;F39,(F39-2000)*0.1,(F11*30%-2000)*0.1))</f>
        <v>0</v>
      </c>
      <c r="G41" s="10">
        <f t="shared" si="29"/>
        <v>0</v>
      </c>
      <c r="H41" s="10">
        <f t="shared" si="29"/>
        <v>0</v>
      </c>
      <c r="I41" s="10">
        <f t="shared" si="29"/>
        <v>0</v>
      </c>
      <c r="J41" s="10">
        <f t="shared" si="29"/>
        <v>0</v>
      </c>
      <c r="K41" s="263">
        <f t="shared" si="29"/>
        <v>0</v>
      </c>
      <c r="L41" s="235">
        <f t="shared" ref="L41" si="30">(L39-2000)*0.1</f>
        <v>-200</v>
      </c>
      <c r="M41" s="53"/>
      <c r="N41" s="53"/>
      <c r="O41" s="29"/>
      <c r="P41" s="34"/>
      <c r="Q41" s="29"/>
      <c r="R41" s="34"/>
      <c r="S41" s="29">
        <v>3300001</v>
      </c>
      <c r="T41" s="293">
        <v>0.20419999999999999</v>
      </c>
      <c r="V41" s="83"/>
      <c r="W41" s="113"/>
      <c r="X41" s="6"/>
    </row>
    <row r="42" spans="1:24" ht="15" customHeight="1">
      <c r="A42" s="270" t="s">
        <v>96</v>
      </c>
      <c r="B42" s="10"/>
      <c r="C42" s="10"/>
      <c r="D42" s="10"/>
      <c r="E42" s="219">
        <f>IF(E41=0,0,IF((E39-2000)*(0.9-VLOOKUP(E69,$S$38:$T$45,2))&gt;E38*$M$40,E38*$M$40,(E39-2000)*(0.9-VLOOKUP(E69,$S$38:$T$45,2))))</f>
        <v>0</v>
      </c>
      <c r="F42" s="260">
        <f t="shared" ref="F42:K42" si="31">IF(F41=0,0,IF((F39-2000)*(0.9-VLOOKUP(F69,$S$38:$T$45,2))&gt;F38*$M$40,F38*$M$40,(F39-2000)*(0.9-VLOOKUP(F69,$S$38:$T$45,2))))</f>
        <v>0</v>
      </c>
      <c r="G42" s="260">
        <f t="shared" si="31"/>
        <v>0</v>
      </c>
      <c r="H42" s="260">
        <f t="shared" si="31"/>
        <v>0</v>
      </c>
      <c r="I42" s="260">
        <f t="shared" si="31"/>
        <v>0</v>
      </c>
      <c r="J42" s="260">
        <f t="shared" si="31"/>
        <v>0</v>
      </c>
      <c r="K42" s="265">
        <f t="shared" si="31"/>
        <v>0</v>
      </c>
      <c r="L42" s="235">
        <f t="shared" ref="L42" si="32">IF(L41=0,0,IF((L39-2000)*(0.9-VLOOKUP(L69,$S$38:$T$44,2))&gt;L38*$M$40,L38*$M$40,(L39-2000)*(0.9-VLOOKUP(L69,$S$38:$T$44,2))))</f>
        <v>-983.2</v>
      </c>
      <c r="M42" s="53"/>
      <c r="N42" s="53"/>
      <c r="O42" s="29"/>
      <c r="P42" s="34"/>
      <c r="Q42" s="29"/>
      <c r="R42" s="34"/>
      <c r="S42" s="29">
        <v>6950001</v>
      </c>
      <c r="T42" s="293">
        <v>0.23483000000000001</v>
      </c>
      <c r="V42" s="83"/>
      <c r="W42" s="113"/>
      <c r="X42" s="6"/>
    </row>
    <row r="43" spans="1:24" ht="15" customHeight="1">
      <c r="A43" s="271" t="s">
        <v>99</v>
      </c>
      <c r="B43" s="123"/>
      <c r="C43" s="123"/>
      <c r="D43" s="123"/>
      <c r="E43" s="124">
        <f>SUM(E41:E42)</f>
        <v>0</v>
      </c>
      <c r="F43" s="123">
        <f t="shared" ref="F43:K43" si="33">SUM(F41:F42)</f>
        <v>0</v>
      </c>
      <c r="G43" s="123">
        <f t="shared" si="33"/>
        <v>0</v>
      </c>
      <c r="H43" s="123">
        <f t="shared" si="33"/>
        <v>0</v>
      </c>
      <c r="I43" s="123">
        <f t="shared" si="33"/>
        <v>0</v>
      </c>
      <c r="J43" s="123">
        <f t="shared" si="33"/>
        <v>0</v>
      </c>
      <c r="K43" s="266">
        <f t="shared" si="33"/>
        <v>0</v>
      </c>
      <c r="L43" s="264">
        <f t="shared" ref="L43:L44" si="34">SUM(L39:L41)</f>
        <v>-200</v>
      </c>
      <c r="M43" s="53"/>
      <c r="N43" s="53"/>
      <c r="O43" s="29"/>
      <c r="P43" s="34"/>
      <c r="Q43" s="29"/>
      <c r="R43" s="34"/>
      <c r="S43" s="29">
        <v>9000001</v>
      </c>
      <c r="T43" s="293">
        <v>0.33693000000000001</v>
      </c>
      <c r="V43" s="83"/>
      <c r="W43" s="113"/>
      <c r="X43" s="6"/>
    </row>
    <row r="44" spans="1:24" ht="15" customHeight="1">
      <c r="A44" s="271" t="s">
        <v>97</v>
      </c>
      <c r="B44" s="123"/>
      <c r="C44" s="123"/>
      <c r="D44" s="123"/>
      <c r="E44" s="124">
        <f>SUM(E40:E42)</f>
        <v>0</v>
      </c>
      <c r="F44" s="123">
        <f t="shared" ref="F44:K44" si="35">SUM(F40:F42)</f>
        <v>0</v>
      </c>
      <c r="G44" s="123">
        <f t="shared" si="35"/>
        <v>0</v>
      </c>
      <c r="H44" s="123">
        <f t="shared" si="35"/>
        <v>0</v>
      </c>
      <c r="I44" s="123">
        <f t="shared" si="35"/>
        <v>0</v>
      </c>
      <c r="J44" s="123">
        <f t="shared" si="35"/>
        <v>0</v>
      </c>
      <c r="K44" s="266">
        <f t="shared" si="35"/>
        <v>0</v>
      </c>
      <c r="L44" s="264">
        <f t="shared" si="34"/>
        <v>-1183.2</v>
      </c>
      <c r="M44" s="53"/>
      <c r="N44" s="53"/>
      <c r="O44" s="29"/>
      <c r="P44" s="71"/>
      <c r="Q44" s="29"/>
      <c r="R44" s="71"/>
      <c r="S44" s="29">
        <v>18000001</v>
      </c>
      <c r="T44" s="293">
        <v>0.40839999999999999</v>
      </c>
      <c r="V44" s="6"/>
      <c r="W44" s="6"/>
      <c r="X44" s="6"/>
    </row>
    <row r="45" spans="1:24" ht="15" customHeight="1" thickBot="1">
      <c r="A45" s="272" t="s">
        <v>80</v>
      </c>
      <c r="B45" s="50">
        <f t="shared" ref="B45:L45" si="36">ROUNDUP(B32*0.1,-2)</f>
        <v>40500</v>
      </c>
      <c r="C45" s="50">
        <f t="shared" si="36"/>
        <v>40500</v>
      </c>
      <c r="D45" s="125">
        <f t="shared" si="36"/>
        <v>0</v>
      </c>
      <c r="E45" s="126">
        <f>ROUND(E32*$M$40,0)</f>
        <v>0</v>
      </c>
      <c r="F45" s="125">
        <f t="shared" ref="F45:K45" si="37">ROUND(F32*$M$40,0)</f>
        <v>0</v>
      </c>
      <c r="G45" s="125">
        <f t="shared" si="37"/>
        <v>0</v>
      </c>
      <c r="H45" s="125">
        <f t="shared" si="37"/>
        <v>0</v>
      </c>
      <c r="I45" s="125">
        <f t="shared" si="37"/>
        <v>0</v>
      </c>
      <c r="J45" s="125">
        <f t="shared" si="37"/>
        <v>0</v>
      </c>
      <c r="K45" s="127">
        <f t="shared" si="37"/>
        <v>0</v>
      </c>
      <c r="L45" s="236">
        <f t="shared" si="36"/>
        <v>2818100</v>
      </c>
      <c r="M45" s="53"/>
      <c r="N45" s="215"/>
      <c r="O45" s="214"/>
      <c r="P45" s="74"/>
      <c r="Q45" s="29"/>
      <c r="R45" s="71"/>
      <c r="S45" s="216">
        <v>40000001</v>
      </c>
      <c r="T45" s="294">
        <v>0.45945000000000003</v>
      </c>
      <c r="V45" s="6"/>
      <c r="W45" s="6"/>
      <c r="X45" s="6"/>
    </row>
    <row r="46" spans="1:24" ht="15" customHeight="1">
      <c r="A46" s="272" t="s">
        <v>81</v>
      </c>
      <c r="B46" s="128">
        <f t="shared" ref="B46:L46" si="38">0.9-VLOOKUP(B69,$S$38:$T$44,2)</f>
        <v>0.69579999999999997</v>
      </c>
      <c r="C46" s="128">
        <f t="shared" si="38"/>
        <v>0.69579999999999997</v>
      </c>
      <c r="D46" s="129">
        <f t="shared" si="38"/>
        <v>0.9</v>
      </c>
      <c r="E46" s="217">
        <f>0.9-VLOOKUP(E69,$S$38:$T$45,2)</f>
        <v>0.9</v>
      </c>
      <c r="F46" s="261">
        <f t="shared" ref="F46:K46" si="39">0.9-VLOOKUP(F69,$S$38:$T$45,2)</f>
        <v>0.9</v>
      </c>
      <c r="G46" s="261">
        <f t="shared" si="39"/>
        <v>0.9</v>
      </c>
      <c r="H46" s="261">
        <f t="shared" si="39"/>
        <v>0.9</v>
      </c>
      <c r="I46" s="261">
        <f t="shared" si="39"/>
        <v>0.9</v>
      </c>
      <c r="J46" s="261">
        <f t="shared" si="39"/>
        <v>0.9</v>
      </c>
      <c r="K46" s="267">
        <f t="shared" si="39"/>
        <v>0.9</v>
      </c>
      <c r="L46" s="237">
        <f t="shared" si="38"/>
        <v>0.49160000000000004</v>
      </c>
      <c r="M46" s="53"/>
      <c r="N46" s="53"/>
      <c r="O46" s="53"/>
      <c r="Q46" s="213"/>
      <c r="R46" s="212"/>
      <c r="S46" s="213"/>
      <c r="T46" s="212"/>
      <c r="V46" s="6"/>
      <c r="W46" s="6"/>
      <c r="X46" s="6"/>
    </row>
    <row r="47" spans="1:24" ht="15" customHeight="1" thickBot="1">
      <c r="A47" s="272" t="s">
        <v>82</v>
      </c>
      <c r="B47" s="50">
        <f>B45/B46+2000</f>
        <v>60206.381144006904</v>
      </c>
      <c r="C47" s="50">
        <f t="shared" ref="C47:L47" si="40">C45/C46+2000</f>
        <v>60206.381144006904</v>
      </c>
      <c r="D47" s="125">
        <f t="shared" si="40"/>
        <v>2000</v>
      </c>
      <c r="E47" s="126">
        <f>E45/E46+2000</f>
        <v>2000</v>
      </c>
      <c r="F47" s="125">
        <f t="shared" si="40"/>
        <v>2000</v>
      </c>
      <c r="G47" s="125">
        <f t="shared" si="40"/>
        <v>2000</v>
      </c>
      <c r="H47" s="125">
        <f t="shared" si="40"/>
        <v>2000</v>
      </c>
      <c r="I47" s="125">
        <f t="shared" si="40"/>
        <v>2000</v>
      </c>
      <c r="J47" s="125">
        <f t="shared" si="40"/>
        <v>2000</v>
      </c>
      <c r="K47" s="268">
        <f t="shared" si="40"/>
        <v>2000</v>
      </c>
      <c r="L47" s="236">
        <f t="shared" si="40"/>
        <v>5734506.1025223751</v>
      </c>
      <c r="M47" s="53"/>
      <c r="N47" s="53"/>
      <c r="O47" s="53"/>
      <c r="Q47" s="29" t="s">
        <v>39</v>
      </c>
      <c r="R47" s="71"/>
      <c r="S47" s="29" t="s">
        <v>39</v>
      </c>
      <c r="T47" s="71"/>
      <c r="V47" s="6"/>
      <c r="W47" s="6"/>
      <c r="X47" s="6"/>
    </row>
    <row r="48" spans="1:24" ht="15" customHeight="1">
      <c r="A48" s="273" t="s">
        <v>122</v>
      </c>
      <c r="B48" s="201">
        <f t="shared" ref="B48:I48" si="41">ROUNDDOWN(B36-B43*6/10,-2)</f>
        <v>242700</v>
      </c>
      <c r="C48" s="201">
        <f t="shared" si="41"/>
        <v>242700</v>
      </c>
      <c r="D48" s="201">
        <f t="shared" si="41"/>
        <v>0</v>
      </c>
      <c r="E48" s="201">
        <f t="shared" si="41"/>
        <v>0</v>
      </c>
      <c r="F48" s="201">
        <f t="shared" si="41"/>
        <v>0</v>
      </c>
      <c r="G48" s="201">
        <f t="shared" si="41"/>
        <v>0</v>
      </c>
      <c r="H48" s="201">
        <f t="shared" si="41"/>
        <v>0</v>
      </c>
      <c r="I48" s="201">
        <f t="shared" si="41"/>
        <v>0</v>
      </c>
      <c r="J48" s="201">
        <f>ROUNDDOWN(J36-J43*6/10,-2)</f>
        <v>0</v>
      </c>
      <c r="K48" s="288">
        <f t="shared" ref="K48:L48" si="42">ROUNDDOWN(K36-K43*6/10,-2)</f>
        <v>0</v>
      </c>
      <c r="L48" s="238">
        <f t="shared" si="42"/>
        <v>16908400</v>
      </c>
      <c r="M48" s="53"/>
      <c r="N48" s="53"/>
      <c r="O48" s="53"/>
      <c r="Q48" s="29">
        <v>-2000000</v>
      </c>
      <c r="R48" s="71">
        <v>0</v>
      </c>
      <c r="S48" s="29">
        <v>-2000000</v>
      </c>
      <c r="T48" s="295">
        <v>0</v>
      </c>
      <c r="V48" s="6"/>
      <c r="W48" s="6"/>
      <c r="X48" s="6"/>
    </row>
    <row r="49" spans="1:24" ht="15" customHeight="1" thickBot="1">
      <c r="A49" s="274" t="s">
        <v>123</v>
      </c>
      <c r="B49" s="202">
        <f t="shared" ref="B49:I49" si="43">ROUNDDOWN(B37-B43*4/10,-2)</f>
        <v>161800</v>
      </c>
      <c r="C49" s="202">
        <f t="shared" si="43"/>
        <v>161800</v>
      </c>
      <c r="D49" s="202">
        <f t="shared" si="43"/>
        <v>0</v>
      </c>
      <c r="E49" s="202">
        <f t="shared" si="43"/>
        <v>0</v>
      </c>
      <c r="F49" s="202">
        <f t="shared" si="43"/>
        <v>0</v>
      </c>
      <c r="G49" s="202">
        <f t="shared" si="43"/>
        <v>0</v>
      </c>
      <c r="H49" s="202">
        <f t="shared" si="43"/>
        <v>0</v>
      </c>
      <c r="I49" s="202">
        <f t="shared" si="43"/>
        <v>0</v>
      </c>
      <c r="J49" s="202">
        <f>ROUNDDOWN(J37-J43*4/10,-2)</f>
        <v>0</v>
      </c>
      <c r="K49" s="289">
        <f t="shared" ref="K49:L49" si="44">ROUNDDOWN(K37-K43*4/10,-2)</f>
        <v>0</v>
      </c>
      <c r="L49" s="239">
        <f t="shared" si="44"/>
        <v>11272200</v>
      </c>
      <c r="M49" s="53"/>
      <c r="N49" s="53"/>
      <c r="O49" s="53"/>
      <c r="Q49" s="29">
        <v>1</v>
      </c>
      <c r="R49" s="71">
        <v>0</v>
      </c>
      <c r="S49" s="29">
        <v>1</v>
      </c>
      <c r="T49" s="295">
        <v>0</v>
      </c>
      <c r="V49" s="6"/>
      <c r="W49" s="6"/>
      <c r="X49" s="6"/>
    </row>
    <row r="50" spans="1:24" ht="15" customHeight="1">
      <c r="A50" s="275" t="s">
        <v>76</v>
      </c>
      <c r="B50" s="130">
        <v>3000</v>
      </c>
      <c r="C50" s="130">
        <v>3000</v>
      </c>
      <c r="D50" s="131">
        <v>3000</v>
      </c>
      <c r="E50" s="132">
        <v>3500</v>
      </c>
      <c r="F50" s="131">
        <v>3500</v>
      </c>
      <c r="G50" s="131">
        <v>3500</v>
      </c>
      <c r="H50" s="131">
        <v>3500</v>
      </c>
      <c r="I50" s="131">
        <v>3500</v>
      </c>
      <c r="J50" s="131">
        <v>3500</v>
      </c>
      <c r="K50" s="133">
        <v>3500</v>
      </c>
      <c r="L50" s="240">
        <v>3000</v>
      </c>
      <c r="M50" s="53"/>
      <c r="N50" s="53"/>
      <c r="O50" s="53"/>
      <c r="Q50" s="29"/>
      <c r="R50" s="71"/>
      <c r="S50" s="29">
        <v>1950001</v>
      </c>
      <c r="T50" s="295">
        <v>99547.5</v>
      </c>
      <c r="V50" s="6"/>
      <c r="W50" s="6"/>
      <c r="X50" s="6"/>
    </row>
    <row r="51" spans="1:24" ht="15" customHeight="1" thickBot="1">
      <c r="A51" s="276" t="s">
        <v>77</v>
      </c>
      <c r="B51" s="50">
        <v>1000</v>
      </c>
      <c r="C51" s="50">
        <v>1000</v>
      </c>
      <c r="D51" s="134">
        <v>1000</v>
      </c>
      <c r="E51" s="135">
        <v>1500</v>
      </c>
      <c r="F51" s="134">
        <v>1500</v>
      </c>
      <c r="G51" s="134">
        <v>1500</v>
      </c>
      <c r="H51" s="134">
        <v>1500</v>
      </c>
      <c r="I51" s="134">
        <v>1500</v>
      </c>
      <c r="J51" s="134">
        <v>1500</v>
      </c>
      <c r="K51" s="136">
        <v>1500</v>
      </c>
      <c r="L51" s="241">
        <v>1000</v>
      </c>
      <c r="M51" s="53"/>
      <c r="N51" s="53"/>
      <c r="O51" s="53"/>
      <c r="Q51" s="29"/>
      <c r="R51" s="71"/>
      <c r="S51" s="29">
        <v>3300001</v>
      </c>
      <c r="T51" s="295">
        <v>436477.5</v>
      </c>
      <c r="V51" s="6"/>
      <c r="W51" s="6"/>
      <c r="X51" s="6"/>
    </row>
    <row r="52" spans="1:24" ht="15" customHeight="1">
      <c r="A52" s="277" t="s">
        <v>74</v>
      </c>
      <c r="B52" s="203">
        <f>B48+B50</f>
        <v>245700</v>
      </c>
      <c r="C52" s="203">
        <f t="shared" ref="C52:L52" si="45">C48+C50</f>
        <v>245700</v>
      </c>
      <c r="D52" s="203">
        <f t="shared" si="45"/>
        <v>3000</v>
      </c>
      <c r="E52" s="203">
        <f t="shared" si="45"/>
        <v>3500</v>
      </c>
      <c r="F52" s="203">
        <f t="shared" si="45"/>
        <v>3500</v>
      </c>
      <c r="G52" s="203">
        <f t="shared" si="45"/>
        <v>3500</v>
      </c>
      <c r="H52" s="203">
        <f t="shared" si="45"/>
        <v>3500</v>
      </c>
      <c r="I52" s="203">
        <f t="shared" si="45"/>
        <v>3500</v>
      </c>
      <c r="J52" s="203">
        <f t="shared" si="45"/>
        <v>3500</v>
      </c>
      <c r="K52" s="290">
        <f t="shared" si="45"/>
        <v>3500</v>
      </c>
      <c r="L52" s="242">
        <f t="shared" si="45"/>
        <v>16911400</v>
      </c>
      <c r="M52" s="53"/>
      <c r="N52" s="53"/>
      <c r="O52" s="53"/>
      <c r="Q52" s="29"/>
      <c r="R52" s="71"/>
      <c r="S52" s="29">
        <v>6950001</v>
      </c>
      <c r="T52" s="295">
        <v>649356</v>
      </c>
      <c r="V52" s="6"/>
      <c r="W52" s="6"/>
      <c r="X52" s="6"/>
    </row>
    <row r="53" spans="1:24" ht="15" customHeight="1">
      <c r="A53" s="278" t="s">
        <v>75</v>
      </c>
      <c r="B53" s="53">
        <f>B49+B51</f>
        <v>162800</v>
      </c>
      <c r="C53" s="53">
        <f t="shared" ref="C53:L53" si="46">C49+C51</f>
        <v>162800</v>
      </c>
      <c r="D53" s="53">
        <f t="shared" si="46"/>
        <v>1000</v>
      </c>
      <c r="E53" s="53">
        <f t="shared" si="46"/>
        <v>1500</v>
      </c>
      <c r="F53" s="53">
        <f t="shared" si="46"/>
        <v>1500</v>
      </c>
      <c r="G53" s="53">
        <f t="shared" si="46"/>
        <v>1500</v>
      </c>
      <c r="H53" s="53">
        <f t="shared" si="46"/>
        <v>1500</v>
      </c>
      <c r="I53" s="53">
        <f t="shared" si="46"/>
        <v>1500</v>
      </c>
      <c r="J53" s="53">
        <f t="shared" si="46"/>
        <v>1500</v>
      </c>
      <c r="K53" s="55">
        <f t="shared" si="46"/>
        <v>1500</v>
      </c>
      <c r="L53" s="243">
        <f t="shared" si="46"/>
        <v>11273200</v>
      </c>
      <c r="M53" s="53"/>
      <c r="N53" s="53"/>
      <c r="O53" s="53"/>
      <c r="Q53" s="29"/>
      <c r="R53" s="71"/>
      <c r="S53" s="29">
        <v>9000001</v>
      </c>
      <c r="T53" s="295">
        <v>1568256</v>
      </c>
    </row>
    <row r="54" spans="1:24" ht="15" customHeight="1" thickBot="1">
      <c r="A54" s="279" t="s">
        <v>78</v>
      </c>
      <c r="B54" s="204">
        <f>SUM(B52:B53)</f>
        <v>408500</v>
      </c>
      <c r="C54" s="204">
        <f t="shared" ref="C54:L54" si="47">SUM(C52:C53)</f>
        <v>408500</v>
      </c>
      <c r="D54" s="204">
        <f t="shared" si="47"/>
        <v>4000</v>
      </c>
      <c r="E54" s="205">
        <f>SUM(E52:E53)</f>
        <v>5000</v>
      </c>
      <c r="F54" s="204">
        <f t="shared" si="47"/>
        <v>5000</v>
      </c>
      <c r="G54" s="204">
        <f t="shared" si="47"/>
        <v>5000</v>
      </c>
      <c r="H54" s="204">
        <f t="shared" si="47"/>
        <v>5000</v>
      </c>
      <c r="I54" s="204">
        <f t="shared" si="47"/>
        <v>5000</v>
      </c>
      <c r="J54" s="204">
        <f t="shared" si="47"/>
        <v>5000</v>
      </c>
      <c r="K54" s="206">
        <f t="shared" si="47"/>
        <v>5000</v>
      </c>
      <c r="L54" s="244">
        <f t="shared" si="47"/>
        <v>28184600</v>
      </c>
      <c r="M54" s="53"/>
      <c r="N54" s="53"/>
      <c r="O54" s="91"/>
      <c r="Q54" s="29"/>
      <c r="R54" s="71"/>
      <c r="S54" s="29">
        <v>18000001</v>
      </c>
      <c r="T54" s="295">
        <v>2854716</v>
      </c>
    </row>
    <row r="55" spans="1:24" ht="15" customHeight="1" thickBot="1">
      <c r="A55" s="280" t="s">
        <v>100</v>
      </c>
      <c r="B55" s="51"/>
      <c r="C55" s="51"/>
      <c r="D55" s="138"/>
      <c r="E55" s="173" t="e">
        <f t="shared" ref="E55:K55" si="48">E43/E38</f>
        <v>#DIV/0!</v>
      </c>
      <c r="F55" s="259" t="e">
        <f t="shared" si="48"/>
        <v>#DIV/0!</v>
      </c>
      <c r="G55" s="259" t="e">
        <f t="shared" si="48"/>
        <v>#DIV/0!</v>
      </c>
      <c r="H55" s="259" t="e">
        <f t="shared" si="48"/>
        <v>#DIV/0!</v>
      </c>
      <c r="I55" s="259" t="e">
        <f t="shared" si="48"/>
        <v>#DIV/0!</v>
      </c>
      <c r="J55" s="259" t="e">
        <f t="shared" si="48"/>
        <v>#DIV/0!</v>
      </c>
      <c r="K55" s="258" t="e">
        <f t="shared" si="48"/>
        <v>#DIV/0!</v>
      </c>
      <c r="L55" s="245"/>
      <c r="M55" s="91"/>
      <c r="N55" s="53"/>
      <c r="O55" s="91"/>
      <c r="Q55" s="29"/>
      <c r="R55" s="71"/>
      <c r="S55" s="216">
        <v>40000001</v>
      </c>
      <c r="T55" s="296">
        <v>4896716</v>
      </c>
    </row>
    <row r="56" spans="1:24" ht="15" customHeight="1" thickBot="1">
      <c r="A56" s="72" t="s">
        <v>68</v>
      </c>
      <c r="B56" s="140"/>
      <c r="C56" s="140"/>
      <c r="E56" s="52"/>
      <c r="F56" s="6"/>
      <c r="G56" s="6"/>
      <c r="H56" s="6"/>
      <c r="I56" s="6"/>
      <c r="J56" s="6"/>
      <c r="K56" s="269"/>
      <c r="L56" s="246"/>
      <c r="M56" s="53"/>
      <c r="N56" s="53"/>
      <c r="O56" s="53"/>
      <c r="Q56" s="316" t="s">
        <v>32</v>
      </c>
      <c r="R56" s="317"/>
      <c r="S56" s="316" t="s">
        <v>33</v>
      </c>
      <c r="T56" s="317"/>
    </row>
    <row r="57" spans="1:24" ht="15" customHeight="1">
      <c r="A57" s="281" t="s">
        <v>0</v>
      </c>
      <c r="B57" s="130">
        <f t="shared" ref="B57:L57" si="49">B9</f>
        <v>7000000</v>
      </c>
      <c r="C57" s="137">
        <f t="shared" si="49"/>
        <v>7000000</v>
      </c>
      <c r="D57" s="141">
        <f t="shared" si="49"/>
        <v>0</v>
      </c>
      <c r="E57" s="142">
        <f t="shared" si="49"/>
        <v>0</v>
      </c>
      <c r="F57" s="141">
        <f t="shared" si="49"/>
        <v>0</v>
      </c>
      <c r="G57" s="141">
        <f t="shared" si="49"/>
        <v>0</v>
      </c>
      <c r="H57" s="141">
        <f t="shared" si="49"/>
        <v>0</v>
      </c>
      <c r="I57" s="141">
        <f t="shared" si="49"/>
        <v>0</v>
      </c>
      <c r="J57" s="141">
        <f t="shared" si="49"/>
        <v>0</v>
      </c>
      <c r="K57" s="143">
        <f t="shared" si="49"/>
        <v>0</v>
      </c>
      <c r="L57" s="247">
        <f t="shared" si="49"/>
        <v>300000000</v>
      </c>
      <c r="M57" s="53"/>
      <c r="N57" s="91"/>
      <c r="O57" s="53"/>
      <c r="Q57" s="144" t="s">
        <v>60</v>
      </c>
      <c r="R57" s="145">
        <v>330000</v>
      </c>
      <c r="S57" s="146" t="s">
        <v>60</v>
      </c>
      <c r="T57" s="145">
        <v>380000</v>
      </c>
    </row>
    <row r="58" spans="1:24" ht="15" customHeight="1">
      <c r="A58" s="282" t="s">
        <v>12</v>
      </c>
      <c r="B58" s="50">
        <f>B57*VLOOKUP(B57,$S$6:$T$11,2)+VLOOKUP(B57,$S$14:$T$19,2)</f>
        <v>1900000</v>
      </c>
      <c r="C58" s="51">
        <f>C57*VLOOKUP(C57,$S$6:$T$11,2)+VLOOKUP(C57,$S$14:$T$19,2)</f>
        <v>1900000</v>
      </c>
      <c r="D58" s="6">
        <f>D57*VLOOKUP(D57,$S$6:$T$11,2)+VLOOKUP(D57,$S$14:$T$19,2)</f>
        <v>650000</v>
      </c>
      <c r="E58" s="52">
        <f>E57*VLOOKUP(E57,$S$6:$T$12,2)+VLOOKUP(E57,$S$14:$T$20,2)</f>
        <v>650000</v>
      </c>
      <c r="F58" s="6">
        <f t="shared" ref="F58:L58" si="50">F57*VLOOKUP(F57,$S$6:$T$12,2)+VLOOKUP(F57,$S$14:$T$20,2)</f>
        <v>650000</v>
      </c>
      <c r="G58" s="6">
        <f t="shared" si="50"/>
        <v>650000</v>
      </c>
      <c r="H58" s="6">
        <f t="shared" si="50"/>
        <v>650000</v>
      </c>
      <c r="I58" s="6">
        <f>I57*VLOOKUP(I57,$S$6:$T$12,2)+VLOOKUP(I57,$S$14:$T$20,2)</f>
        <v>650000</v>
      </c>
      <c r="J58" s="6">
        <f t="shared" si="50"/>
        <v>650000</v>
      </c>
      <c r="K58" s="72">
        <f t="shared" si="50"/>
        <v>650000</v>
      </c>
      <c r="L58" s="223">
        <f t="shared" si="50"/>
        <v>2450000</v>
      </c>
      <c r="M58" s="53"/>
      <c r="N58" s="53"/>
      <c r="O58" s="53"/>
      <c r="Q58" s="144" t="s">
        <v>62</v>
      </c>
      <c r="R58" s="145">
        <v>330000</v>
      </c>
      <c r="S58" s="146" t="s">
        <v>62</v>
      </c>
      <c r="T58" s="145">
        <v>380000</v>
      </c>
    </row>
    <row r="59" spans="1:24" ht="15" customHeight="1">
      <c r="A59" s="282" t="s">
        <v>30</v>
      </c>
      <c r="B59" s="50">
        <f t="shared" ref="B59" si="51">B57-B58</f>
        <v>5100000</v>
      </c>
      <c r="C59" s="51">
        <f>C57-C58</f>
        <v>5100000</v>
      </c>
      <c r="D59" s="6">
        <f>D57-D58</f>
        <v>-650000</v>
      </c>
      <c r="E59" s="52">
        <f t="shared" ref="E59:L59" si="52">E57-E58</f>
        <v>-650000</v>
      </c>
      <c r="F59" s="6">
        <f t="shared" si="52"/>
        <v>-650000</v>
      </c>
      <c r="G59" s="6">
        <f t="shared" si="52"/>
        <v>-650000</v>
      </c>
      <c r="H59" s="6">
        <f t="shared" si="52"/>
        <v>-650000</v>
      </c>
      <c r="I59" s="6">
        <f t="shared" si="52"/>
        <v>-650000</v>
      </c>
      <c r="J59" s="6">
        <f t="shared" si="52"/>
        <v>-650000</v>
      </c>
      <c r="K59" s="72">
        <f t="shared" si="52"/>
        <v>-650000</v>
      </c>
      <c r="L59" s="223">
        <f t="shared" si="52"/>
        <v>297550000</v>
      </c>
      <c r="N59" s="53"/>
      <c r="Q59" s="144" t="s">
        <v>34</v>
      </c>
      <c r="R59" s="145">
        <v>0</v>
      </c>
      <c r="S59" s="146" t="s">
        <v>34</v>
      </c>
      <c r="T59" s="145">
        <v>0</v>
      </c>
    </row>
    <row r="60" spans="1:24" ht="15" customHeight="1">
      <c r="A60" s="282"/>
      <c r="B60" s="50"/>
      <c r="C60" s="51"/>
      <c r="D60" s="6"/>
      <c r="E60" s="52"/>
      <c r="F60" s="6"/>
      <c r="G60" s="6"/>
      <c r="H60" s="6"/>
      <c r="I60" s="6"/>
      <c r="J60" s="6"/>
      <c r="K60" s="72"/>
      <c r="L60" s="223"/>
      <c r="N60" s="53"/>
      <c r="Q60" s="144" t="s">
        <v>65</v>
      </c>
      <c r="R60" s="145">
        <v>330000</v>
      </c>
      <c r="S60" s="146" t="s">
        <v>65</v>
      </c>
      <c r="T60" s="145">
        <v>380000</v>
      </c>
    </row>
    <row r="61" spans="1:24" ht="15" customHeight="1" thickBot="1">
      <c r="A61" s="282" t="s">
        <v>20</v>
      </c>
      <c r="B61" s="50">
        <f>B57*VLOOKUP(B57,$S$23:$T$25,2)+VLOOKUP(B57,$S$27:$T$29,2)</f>
        <v>700000</v>
      </c>
      <c r="C61" s="51">
        <f>C57*VLOOKUP(C57,$S$23:$T$25,2)+VLOOKUP(C57,$S$27:$T$29,2)</f>
        <v>700000</v>
      </c>
      <c r="D61" s="6">
        <f>D57*VLOOKUP(D57,$S$23:$T$25,2)+VLOOKUP(D57,$S$27:$T$29,2)</f>
        <v>0</v>
      </c>
      <c r="E61" s="52">
        <f t="shared" ref="E61:L61" si="53">E57*VLOOKUP(E57,$S$23:$T$25,2)+VLOOKUP(E57,$S$27:$T$29,2)</f>
        <v>0</v>
      </c>
      <c r="F61" s="6">
        <f t="shared" si="53"/>
        <v>0</v>
      </c>
      <c r="G61" s="6">
        <f t="shared" si="53"/>
        <v>0</v>
      </c>
      <c r="H61" s="6">
        <f t="shared" si="53"/>
        <v>0</v>
      </c>
      <c r="I61" s="6">
        <f t="shared" si="53"/>
        <v>0</v>
      </c>
      <c r="J61" s="6">
        <f t="shared" si="53"/>
        <v>0</v>
      </c>
      <c r="K61" s="72">
        <f t="shared" si="53"/>
        <v>0</v>
      </c>
      <c r="L61" s="223">
        <f t="shared" si="53"/>
        <v>1140000</v>
      </c>
      <c r="Q61" s="147" t="s">
        <v>35</v>
      </c>
      <c r="R61" s="148">
        <v>450000</v>
      </c>
      <c r="S61" s="149" t="s">
        <v>36</v>
      </c>
      <c r="T61" s="148">
        <v>630000</v>
      </c>
    </row>
    <row r="62" spans="1:24" ht="15" customHeight="1">
      <c r="A62" s="282" t="s">
        <v>21</v>
      </c>
      <c r="B62" s="50">
        <f t="shared" ref="B62:L62" si="54">IF($M$2=1,$T$32,0)</f>
        <v>0</v>
      </c>
      <c r="C62" s="51">
        <f t="shared" si="54"/>
        <v>0</v>
      </c>
      <c r="D62" s="6">
        <f t="shared" si="54"/>
        <v>0</v>
      </c>
      <c r="E62" s="52">
        <f t="shared" si="54"/>
        <v>0</v>
      </c>
      <c r="F62" s="6">
        <f t="shared" si="54"/>
        <v>0</v>
      </c>
      <c r="G62" s="6">
        <f t="shared" si="54"/>
        <v>0</v>
      </c>
      <c r="H62" s="6">
        <f t="shared" si="54"/>
        <v>0</v>
      </c>
      <c r="I62" s="6">
        <f t="shared" si="54"/>
        <v>0</v>
      </c>
      <c r="J62" s="6">
        <f t="shared" si="54"/>
        <v>0</v>
      </c>
      <c r="K62" s="72">
        <f t="shared" si="54"/>
        <v>0</v>
      </c>
      <c r="L62" s="223">
        <f t="shared" si="54"/>
        <v>0</v>
      </c>
    </row>
    <row r="63" spans="1:24" ht="15" customHeight="1">
      <c r="A63" s="282" t="s">
        <v>22</v>
      </c>
      <c r="B63" s="50">
        <f t="shared" ref="B63:L63" si="55">IF(B59&lt;10000000,IF($M$2=1,$T$33,0),0)</f>
        <v>0</v>
      </c>
      <c r="C63" s="51">
        <f t="shared" si="55"/>
        <v>0</v>
      </c>
      <c r="D63" s="6">
        <f t="shared" si="55"/>
        <v>0</v>
      </c>
      <c r="E63" s="52">
        <f t="shared" si="55"/>
        <v>0</v>
      </c>
      <c r="F63" s="6">
        <f t="shared" si="55"/>
        <v>0</v>
      </c>
      <c r="G63" s="6">
        <f t="shared" si="55"/>
        <v>0</v>
      </c>
      <c r="H63" s="6">
        <f t="shared" si="55"/>
        <v>0</v>
      </c>
      <c r="I63" s="6">
        <f t="shared" si="55"/>
        <v>0</v>
      </c>
      <c r="J63" s="6">
        <f t="shared" si="55"/>
        <v>0</v>
      </c>
      <c r="K63" s="72">
        <f t="shared" si="55"/>
        <v>0</v>
      </c>
      <c r="L63" s="223">
        <f t="shared" si="55"/>
        <v>0</v>
      </c>
    </row>
    <row r="64" spans="1:24" ht="15" customHeight="1">
      <c r="A64" s="282" t="s">
        <v>24</v>
      </c>
      <c r="B64" s="50">
        <f t="shared" ref="B64:L64" si="56">IF($M$5&gt;0,$M$5*$T$34,0)+IF($M$6&gt;0,$M$6*$T$35)+IF($M$7&gt;0,$M$7*$T$34,0)</f>
        <v>0</v>
      </c>
      <c r="C64" s="51">
        <f t="shared" si="56"/>
        <v>0</v>
      </c>
      <c r="D64" s="6">
        <f t="shared" si="56"/>
        <v>0</v>
      </c>
      <c r="E64" s="52">
        <f t="shared" si="56"/>
        <v>0</v>
      </c>
      <c r="F64" s="6">
        <f t="shared" si="56"/>
        <v>0</v>
      </c>
      <c r="G64" s="6">
        <f t="shared" si="56"/>
        <v>0</v>
      </c>
      <c r="H64" s="6">
        <f t="shared" si="56"/>
        <v>0</v>
      </c>
      <c r="I64" s="6">
        <f t="shared" si="56"/>
        <v>0</v>
      </c>
      <c r="J64" s="6">
        <f t="shared" si="56"/>
        <v>0</v>
      </c>
      <c r="K64" s="72">
        <f t="shared" si="56"/>
        <v>0</v>
      </c>
      <c r="L64" s="223">
        <f t="shared" si="56"/>
        <v>0</v>
      </c>
    </row>
    <row r="65" spans="1:20" ht="15" customHeight="1">
      <c r="A65" s="282" t="s">
        <v>25</v>
      </c>
      <c r="B65" s="50">
        <f>$T$31</f>
        <v>380000</v>
      </c>
      <c r="C65" s="51">
        <f>$T$31</f>
        <v>380000</v>
      </c>
      <c r="D65" s="6">
        <f>$T$31</f>
        <v>380000</v>
      </c>
      <c r="E65" s="52">
        <f t="shared" ref="E65:L65" si="57">$T$31</f>
        <v>380000</v>
      </c>
      <c r="F65" s="6">
        <f t="shared" si="57"/>
        <v>380000</v>
      </c>
      <c r="G65" s="6">
        <f t="shared" si="57"/>
        <v>380000</v>
      </c>
      <c r="H65" s="6">
        <f t="shared" si="57"/>
        <v>380000</v>
      </c>
      <c r="I65" s="6">
        <f t="shared" si="57"/>
        <v>380000</v>
      </c>
      <c r="J65" s="6">
        <f t="shared" si="57"/>
        <v>380000</v>
      </c>
      <c r="K65" s="72">
        <f t="shared" si="57"/>
        <v>380000</v>
      </c>
      <c r="L65" s="223">
        <f t="shared" si="57"/>
        <v>380000</v>
      </c>
    </row>
    <row r="66" spans="1:20" ht="15" customHeight="1">
      <c r="A66" s="282" t="s">
        <v>26</v>
      </c>
      <c r="B66" s="50">
        <f>SUM(B60:B65)</f>
        <v>1080000</v>
      </c>
      <c r="C66" s="51">
        <f>SUM(C60:C65)+D91</f>
        <v>1080000</v>
      </c>
      <c r="D66" s="6">
        <f t="shared" ref="D66:L66" si="58">SUM(D60:D65)</f>
        <v>380000</v>
      </c>
      <c r="E66" s="52">
        <f>SUM(E60:E65)</f>
        <v>380000</v>
      </c>
      <c r="F66" s="6">
        <f t="shared" si="58"/>
        <v>380000</v>
      </c>
      <c r="G66" s="6">
        <f t="shared" si="58"/>
        <v>380000</v>
      </c>
      <c r="H66" s="6">
        <f t="shared" si="58"/>
        <v>380000</v>
      </c>
      <c r="I66" s="6">
        <f t="shared" si="58"/>
        <v>380000</v>
      </c>
      <c r="J66" s="6">
        <f t="shared" si="58"/>
        <v>380000</v>
      </c>
      <c r="K66" s="72">
        <f t="shared" si="58"/>
        <v>380000</v>
      </c>
      <c r="L66" s="223">
        <f t="shared" si="58"/>
        <v>1520000</v>
      </c>
    </row>
    <row r="67" spans="1:20" ht="15" customHeight="1">
      <c r="A67" s="283" t="s">
        <v>124</v>
      </c>
      <c r="B67" s="139">
        <f t="shared" ref="B67:D67" si="59">IF(B39&lt;=2000,0,IF(B39&gt;B59*40%,(B59*40%-2000)*VLOOKUP(B69,$S$38:$T$44,2),(B39-2000)*VLOOKUP(B69,$S$38:$T$44,2)))</f>
        <v>0</v>
      </c>
      <c r="C67" s="151">
        <f t="shared" si="59"/>
        <v>0</v>
      </c>
      <c r="D67" s="151">
        <f t="shared" si="59"/>
        <v>0</v>
      </c>
      <c r="E67" s="218">
        <f>IF(E39&lt;=2000,0,IF(E39&gt;E59*40%,(E59*40%-2000)*VLOOKUP(E69,$S$38:$T$45,2),(E39-2000)*VLOOKUP(E69,$S$38:$T$45,2)))</f>
        <v>0</v>
      </c>
      <c r="F67" s="256">
        <f t="shared" ref="F67:K67" si="60">IF(F39&lt;=2000,0,IF(F39&gt;F59*40%,(F59*40%-2000)*VLOOKUP(F69,$S$38:$T$45,2),(F39-2000)*VLOOKUP(F69,$S$38:$T$45,2)))</f>
        <v>0</v>
      </c>
      <c r="G67" s="256">
        <f t="shared" si="60"/>
        <v>0</v>
      </c>
      <c r="H67" s="256">
        <f t="shared" si="60"/>
        <v>0</v>
      </c>
      <c r="I67" s="256">
        <f t="shared" si="60"/>
        <v>0</v>
      </c>
      <c r="J67" s="256">
        <f t="shared" si="60"/>
        <v>0</v>
      </c>
      <c r="K67" s="253">
        <f t="shared" si="60"/>
        <v>0</v>
      </c>
      <c r="L67" s="248"/>
    </row>
    <row r="68" spans="1:20" s="209" customFormat="1" ht="15" customHeight="1">
      <c r="A68" s="284" t="s">
        <v>88</v>
      </c>
      <c r="B68" s="208"/>
      <c r="C68" s="208"/>
      <c r="D68" s="208"/>
      <c r="E68" s="210">
        <f>IF(E39="",0,IF(E39&lt;=E59*0.4,IF(E39-2000&gt;0,E39-2000,0),E59*0.4-2000))</f>
        <v>0</v>
      </c>
      <c r="F68" s="257">
        <f t="shared" ref="F68:K68" si="61">IF(F39="",0,IF(F39&lt;=F59*0.4,IF(F39-2000&gt;0,F39-2000,0),F59*0.4-2000))</f>
        <v>0</v>
      </c>
      <c r="G68" s="257">
        <f t="shared" si="61"/>
        <v>0</v>
      </c>
      <c r="H68" s="257">
        <f t="shared" si="61"/>
        <v>0</v>
      </c>
      <c r="I68" s="257">
        <f t="shared" si="61"/>
        <v>0</v>
      </c>
      <c r="J68" s="257">
        <f t="shared" si="61"/>
        <v>0</v>
      </c>
      <c r="K68" s="254">
        <f t="shared" si="61"/>
        <v>-262000</v>
      </c>
      <c r="L68" s="286"/>
      <c r="N68" s="1"/>
      <c r="O68" s="1"/>
      <c r="P68" s="1"/>
      <c r="Q68" s="1"/>
      <c r="R68" s="1"/>
      <c r="S68" s="1"/>
      <c r="T68" s="1"/>
    </row>
    <row r="69" spans="1:20" ht="15" customHeight="1">
      <c r="A69" s="282" t="s">
        <v>27</v>
      </c>
      <c r="B69" s="50">
        <f t="shared" ref="B69:L69" si="62">ROUNDDOWN(IF(B59-B66&lt;0,0,B59-B66),-3)</f>
        <v>4020000</v>
      </c>
      <c r="C69" s="51">
        <f t="shared" si="62"/>
        <v>4020000</v>
      </c>
      <c r="D69" s="53">
        <f t="shared" si="62"/>
        <v>0</v>
      </c>
      <c r="E69" s="54">
        <f>ROUNDDOWN(IF(E59-E66&lt;0,0,E59-E66),-3)</f>
        <v>0</v>
      </c>
      <c r="F69" s="53">
        <f t="shared" si="62"/>
        <v>0</v>
      </c>
      <c r="G69" s="53">
        <f t="shared" si="62"/>
        <v>0</v>
      </c>
      <c r="H69" s="53">
        <f t="shared" si="62"/>
        <v>0</v>
      </c>
      <c r="I69" s="53">
        <f t="shared" si="62"/>
        <v>0</v>
      </c>
      <c r="J69" s="53">
        <f t="shared" si="62"/>
        <v>0</v>
      </c>
      <c r="K69" s="55">
        <f t="shared" si="62"/>
        <v>0</v>
      </c>
      <c r="L69" s="287">
        <f t="shared" si="62"/>
        <v>296030000</v>
      </c>
    </row>
    <row r="70" spans="1:20" ht="15" customHeight="1">
      <c r="A70" s="285" t="s">
        <v>89</v>
      </c>
      <c r="B70" s="150"/>
      <c r="C70" s="139"/>
      <c r="D70" s="139"/>
      <c r="E70" s="211">
        <f>ROUNDDOWN(E69-E68,-3)</f>
        <v>0</v>
      </c>
      <c r="F70" s="255">
        <f t="shared" ref="F70:K70" si="63">ROUNDDOWN(F69-F68,-3)</f>
        <v>0</v>
      </c>
      <c r="G70" s="255">
        <f t="shared" si="63"/>
        <v>0</v>
      </c>
      <c r="H70" s="255">
        <f t="shared" si="63"/>
        <v>0</v>
      </c>
      <c r="I70" s="255">
        <f t="shared" si="63"/>
        <v>0</v>
      </c>
      <c r="J70" s="255">
        <f t="shared" si="63"/>
        <v>0</v>
      </c>
      <c r="K70" s="291">
        <f t="shared" si="63"/>
        <v>262000</v>
      </c>
      <c r="L70" s="248"/>
      <c r="N70" s="209"/>
      <c r="O70" s="209"/>
      <c r="P70" s="209"/>
      <c r="Q70" s="209"/>
      <c r="R70" s="209"/>
      <c r="S70" s="209"/>
      <c r="T70" s="209"/>
    </row>
    <row r="71" spans="1:20" ht="15" customHeight="1">
      <c r="A71" s="282" t="s">
        <v>38</v>
      </c>
      <c r="B71" s="50">
        <f>ROUNDDOWN(B69*VLOOKUP(B69,$S$38:$T$44,2)-VLOOKUP(B69,$S$48:$T$54,2),-2)</f>
        <v>384400</v>
      </c>
      <c r="C71" s="50">
        <f>ROUNDDOWN(C69*VLOOKUP(C69,$S$38:$T$44,2)-VLOOKUP(C69,$S$48:$T$54,2),-2)</f>
        <v>384400</v>
      </c>
      <c r="D71" s="6">
        <f>ROUNDDOWN(D69*VLOOKUP(D69,$S$38:$T$44,2)-VLOOKUP(D69,$S$48:$T$54,2),-2)</f>
        <v>0</v>
      </c>
      <c r="E71" s="218">
        <f>ROUNDDOWN(E69*VLOOKUP(E69,$S$38:$T$45,2)-VLOOKUP(E69,$S$48:$T$55,2),0)</f>
        <v>0</v>
      </c>
      <c r="F71" s="256">
        <f>ROUNDDOWN(F69*VLOOKUP(F69,$S$38:$T$45,2)-VLOOKUP(F69,$S$48:$T$55,2),0)</f>
        <v>0</v>
      </c>
      <c r="G71" s="256">
        <f>ROUNDDOWN(G69*VLOOKUP(G69,$S$38:$T$45,2)-VLOOKUP(G69,$S$48:$T$55,2),0)</f>
        <v>0</v>
      </c>
      <c r="H71" s="256">
        <f t="shared" ref="H71:J71" si="64">ROUNDDOWN(H69*VLOOKUP(H69,$S$38:$T$45,2)-VLOOKUP(H69,$S$48:$T$55,2),0)</f>
        <v>0</v>
      </c>
      <c r="I71" s="256">
        <f t="shared" si="64"/>
        <v>0</v>
      </c>
      <c r="J71" s="256">
        <f t="shared" si="64"/>
        <v>0</v>
      </c>
      <c r="K71" s="253">
        <f>ROUNDDOWN(K69*VLOOKUP(K69,$S$38:$T$45,2)-VLOOKUP(K69,$S$48:$T$55,2),0)</f>
        <v>0</v>
      </c>
      <c r="L71" s="223">
        <f>ROUNDDOWN(L69*VLOOKUP(L69,$S$38:$T$44,2)-VLOOKUP(L69,$S$48:$T$54,2),-2)</f>
        <v>118043900</v>
      </c>
    </row>
    <row r="72" spans="1:20" ht="15" customHeight="1">
      <c r="A72" s="282"/>
      <c r="B72" s="50"/>
      <c r="C72" s="51"/>
      <c r="D72" s="6"/>
      <c r="E72" s="52"/>
      <c r="F72" s="6"/>
      <c r="G72" s="6"/>
      <c r="H72" s="6"/>
      <c r="I72" s="6"/>
      <c r="J72" s="6"/>
      <c r="K72" s="72"/>
      <c r="L72" s="223"/>
    </row>
    <row r="73" spans="1:20" ht="15" customHeight="1">
      <c r="A73" s="282" t="s">
        <v>38</v>
      </c>
      <c r="B73" s="50">
        <f>B71-B72</f>
        <v>384400</v>
      </c>
      <c r="C73" s="51">
        <f>C71-C72</f>
        <v>384400</v>
      </c>
      <c r="D73" s="6">
        <f>D71-D72</f>
        <v>0</v>
      </c>
      <c r="E73" s="52">
        <f>E71-E72</f>
        <v>0</v>
      </c>
      <c r="F73" s="6">
        <f t="shared" ref="F73:L73" si="65">F71-F72</f>
        <v>0</v>
      </c>
      <c r="G73" s="6">
        <f t="shared" si="65"/>
        <v>0</v>
      </c>
      <c r="H73" s="6">
        <f t="shared" si="65"/>
        <v>0</v>
      </c>
      <c r="I73" s="6">
        <f t="shared" si="65"/>
        <v>0</v>
      </c>
      <c r="J73" s="6">
        <f t="shared" si="65"/>
        <v>0</v>
      </c>
      <c r="K73" s="72">
        <f t="shared" si="65"/>
        <v>0</v>
      </c>
      <c r="L73" s="223">
        <f t="shared" si="65"/>
        <v>118043900</v>
      </c>
    </row>
    <row r="74" spans="1:20" ht="24" customHeight="1">
      <c r="A74" s="285" t="s">
        <v>91</v>
      </c>
      <c r="B74" s="150"/>
      <c r="C74" s="150"/>
      <c r="D74" s="139"/>
      <c r="E74" s="218">
        <f>ROUNDDOWN(E70*VLOOKUP(E70,$S$38:$T$45,2)-VLOOKUP(E70,$S$48:$T$55,2),0)</f>
        <v>0</v>
      </c>
      <c r="F74" s="256">
        <f>ROUNDDOWN(F70*VLOOKUP(F70,$S$38:$T$45,2)-VLOOKUP(F70,$S$48:$T$55,2),0)</f>
        <v>0</v>
      </c>
      <c r="G74" s="256">
        <f t="shared" ref="G74:J74" si="66">ROUNDDOWN(G70*VLOOKUP(G70,$S$38:$T$45,2)-VLOOKUP(G70,$S$48:$T$55,2),0)</f>
        <v>0</v>
      </c>
      <c r="H74" s="256">
        <f t="shared" si="66"/>
        <v>0</v>
      </c>
      <c r="I74" s="256">
        <f t="shared" si="66"/>
        <v>0</v>
      </c>
      <c r="J74" s="256">
        <f t="shared" si="66"/>
        <v>0</v>
      </c>
      <c r="K74" s="253">
        <f>ROUNDDOWN(K70*VLOOKUP(K70,$S$38:$T$45,2)-VLOOKUP(K70,$S$48:$T$55,2),0)</f>
        <v>13375</v>
      </c>
      <c r="L74" s="248"/>
    </row>
    <row r="75" spans="1:20" ht="24" customHeight="1" thickBot="1">
      <c r="A75" s="49"/>
      <c r="B75" s="50"/>
      <c r="C75" s="51"/>
      <c r="D75" s="6"/>
      <c r="E75" s="52"/>
      <c r="F75" s="6"/>
      <c r="G75" s="6"/>
      <c r="H75" s="6"/>
      <c r="I75" s="6"/>
      <c r="J75" s="6"/>
      <c r="K75" s="269"/>
      <c r="L75" s="223"/>
    </row>
    <row r="76" spans="1:20" ht="24" customHeight="1" thickBot="1">
      <c r="A76" s="153" t="s">
        <v>83</v>
      </c>
      <c r="B76" s="154">
        <f>B73+B74</f>
        <v>384400</v>
      </c>
      <c r="C76" s="154">
        <f>C73+C74</f>
        <v>384400</v>
      </c>
      <c r="D76" s="155">
        <f>D73</f>
        <v>0</v>
      </c>
      <c r="E76" s="156">
        <f>E73</f>
        <v>0</v>
      </c>
      <c r="F76" s="155">
        <f t="shared" ref="F76:L77" si="67">F73</f>
        <v>0</v>
      </c>
      <c r="G76" s="155">
        <f t="shared" si="67"/>
        <v>0</v>
      </c>
      <c r="H76" s="155">
        <f t="shared" si="67"/>
        <v>0</v>
      </c>
      <c r="I76" s="155">
        <f t="shared" si="67"/>
        <v>0</v>
      </c>
      <c r="J76" s="155">
        <f t="shared" si="67"/>
        <v>0</v>
      </c>
      <c r="K76" s="157">
        <f t="shared" si="67"/>
        <v>0</v>
      </c>
      <c r="L76" s="249">
        <f t="shared" si="67"/>
        <v>118043900</v>
      </c>
    </row>
    <row r="77" spans="1:20" ht="24" customHeight="1">
      <c r="A77" s="158" t="s">
        <v>90</v>
      </c>
      <c r="B77" s="150"/>
      <c r="C77" s="139"/>
      <c r="D77" s="139"/>
      <c r="E77" s="151">
        <f>E74</f>
        <v>0</v>
      </c>
      <c r="F77" s="139">
        <f t="shared" si="67"/>
        <v>0</v>
      </c>
      <c r="G77" s="139">
        <f t="shared" si="67"/>
        <v>0</v>
      </c>
      <c r="H77" s="139">
        <f t="shared" si="67"/>
        <v>0</v>
      </c>
      <c r="I77" s="139">
        <f t="shared" si="67"/>
        <v>0</v>
      </c>
      <c r="J77" s="139">
        <f t="shared" si="67"/>
        <v>0</v>
      </c>
      <c r="K77" s="152">
        <f t="shared" si="67"/>
        <v>13375</v>
      </c>
      <c r="L77" s="248"/>
      <c r="M77" s="6"/>
    </row>
    <row r="78" spans="1:20" ht="24" customHeight="1" thickBot="1">
      <c r="A78" s="159" t="s">
        <v>40</v>
      </c>
      <c r="B78" s="50"/>
      <c r="C78" s="51"/>
      <c r="D78" s="6"/>
      <c r="E78" s="52"/>
      <c r="F78" s="6"/>
      <c r="G78" s="6"/>
      <c r="H78" s="6"/>
      <c r="I78" s="6"/>
      <c r="J78" s="6"/>
      <c r="K78" s="72"/>
      <c r="L78" s="223"/>
      <c r="M78" s="6"/>
      <c r="O78" s="6"/>
      <c r="P78" s="6"/>
    </row>
    <row r="79" spans="1:20" ht="18" customHeight="1">
      <c r="A79" s="160" t="s">
        <v>41</v>
      </c>
      <c r="B79" s="161">
        <f>B76+B38</f>
        <v>788900</v>
      </c>
      <c r="C79" s="162">
        <f>C76+C55-C50-C51</f>
        <v>380400</v>
      </c>
      <c r="D79" s="163">
        <f t="shared" ref="D79:L79" si="68">D76+D38</f>
        <v>0</v>
      </c>
      <c r="E79" s="164">
        <f t="shared" si="68"/>
        <v>0</v>
      </c>
      <c r="F79" s="163">
        <f t="shared" si="68"/>
        <v>0</v>
      </c>
      <c r="G79" s="163">
        <f t="shared" si="68"/>
        <v>0</v>
      </c>
      <c r="H79" s="163">
        <f t="shared" si="68"/>
        <v>0</v>
      </c>
      <c r="I79" s="163">
        <f t="shared" si="68"/>
        <v>0</v>
      </c>
      <c r="J79" s="163">
        <f t="shared" si="68"/>
        <v>0</v>
      </c>
      <c r="K79" s="165">
        <f t="shared" si="68"/>
        <v>0</v>
      </c>
      <c r="L79" s="250">
        <f t="shared" si="68"/>
        <v>146224400</v>
      </c>
      <c r="M79" s="6"/>
      <c r="N79" s="6"/>
      <c r="O79" s="6"/>
      <c r="P79" s="6"/>
    </row>
    <row r="80" spans="1:20" ht="19.5" customHeight="1" thickBot="1">
      <c r="A80" s="166" t="s">
        <v>42</v>
      </c>
      <c r="B80" s="116">
        <f>B76+B54</f>
        <v>792900</v>
      </c>
      <c r="C80" s="167">
        <f>C76+C55</f>
        <v>384400</v>
      </c>
      <c r="D80" s="168">
        <f t="shared" ref="D80:L80" si="69">D76+D54</f>
        <v>4000</v>
      </c>
      <c r="E80" s="169">
        <f t="shared" si="69"/>
        <v>5000</v>
      </c>
      <c r="F80" s="168">
        <f t="shared" si="69"/>
        <v>5000</v>
      </c>
      <c r="G80" s="168">
        <f t="shared" si="69"/>
        <v>5000</v>
      </c>
      <c r="H80" s="168">
        <f t="shared" si="69"/>
        <v>5000</v>
      </c>
      <c r="I80" s="168">
        <f t="shared" si="69"/>
        <v>5000</v>
      </c>
      <c r="J80" s="168">
        <f t="shared" si="69"/>
        <v>5000</v>
      </c>
      <c r="K80" s="170">
        <f t="shared" si="69"/>
        <v>5000</v>
      </c>
      <c r="L80" s="251">
        <f t="shared" si="69"/>
        <v>146228500</v>
      </c>
      <c r="M80" s="6"/>
      <c r="N80" s="6"/>
      <c r="O80" s="6"/>
      <c r="P80" s="6"/>
    </row>
    <row r="81" spans="1:16" ht="19.5" customHeight="1">
      <c r="B81" s="140"/>
      <c r="C81" s="140"/>
      <c r="E81" s="52"/>
      <c r="F81" s="6"/>
      <c r="G81" s="6"/>
      <c r="H81" s="6"/>
      <c r="I81" s="6"/>
      <c r="J81" s="6"/>
      <c r="K81" s="72"/>
      <c r="L81" s="246"/>
      <c r="M81" s="6"/>
      <c r="N81" s="6"/>
      <c r="O81" s="6"/>
      <c r="P81" s="6"/>
    </row>
    <row r="82" spans="1:16" ht="19.5" customHeight="1">
      <c r="A82" s="171" t="s">
        <v>51</v>
      </c>
      <c r="B82" s="140">
        <f t="shared" ref="B82:L82" si="70">B9-B80</f>
        <v>6207100</v>
      </c>
      <c r="C82" s="140">
        <f t="shared" si="70"/>
        <v>6615600</v>
      </c>
      <c r="D82" s="1">
        <f t="shared" si="70"/>
        <v>-4000</v>
      </c>
      <c r="E82" s="52">
        <f t="shared" si="70"/>
        <v>-5000</v>
      </c>
      <c r="F82" s="6">
        <f t="shared" si="70"/>
        <v>-5000</v>
      </c>
      <c r="G82" s="6">
        <f t="shared" si="70"/>
        <v>-5000</v>
      </c>
      <c r="H82" s="6">
        <f t="shared" si="70"/>
        <v>-5000</v>
      </c>
      <c r="I82" s="6">
        <f t="shared" si="70"/>
        <v>-5000</v>
      </c>
      <c r="J82" s="6">
        <f t="shared" si="70"/>
        <v>-5000</v>
      </c>
      <c r="K82" s="72">
        <f t="shared" si="70"/>
        <v>-5000</v>
      </c>
      <c r="L82" s="246">
        <f t="shared" si="70"/>
        <v>153771500</v>
      </c>
      <c r="M82" s="6"/>
      <c r="N82" s="6"/>
      <c r="O82" s="6"/>
      <c r="P82" s="6"/>
    </row>
    <row r="83" spans="1:16" ht="19.5" customHeight="1">
      <c r="A83" s="171" t="s">
        <v>52</v>
      </c>
      <c r="B83" s="140">
        <f t="shared" ref="B83:L83" si="71">B82-B17</f>
        <v>5507100</v>
      </c>
      <c r="C83" s="140">
        <f t="shared" si="71"/>
        <v>5915600</v>
      </c>
      <c r="D83" s="1">
        <f t="shared" si="71"/>
        <v>-4000</v>
      </c>
      <c r="E83" s="52">
        <f t="shared" si="71"/>
        <v>-5000</v>
      </c>
      <c r="F83" s="6">
        <f t="shared" si="71"/>
        <v>-5000</v>
      </c>
      <c r="G83" s="6">
        <f t="shared" si="71"/>
        <v>-5000</v>
      </c>
      <c r="H83" s="6">
        <f t="shared" si="71"/>
        <v>-5000</v>
      </c>
      <c r="I83" s="6">
        <f t="shared" si="71"/>
        <v>-5000</v>
      </c>
      <c r="J83" s="6">
        <f t="shared" si="71"/>
        <v>-5000</v>
      </c>
      <c r="K83" s="72">
        <f t="shared" si="71"/>
        <v>-5000</v>
      </c>
      <c r="L83" s="292">
        <f t="shared" si="71"/>
        <v>152631500</v>
      </c>
      <c r="M83" s="6"/>
      <c r="N83" s="6"/>
      <c r="O83" s="6"/>
      <c r="P83" s="6"/>
    </row>
    <row r="84" spans="1:16" ht="19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252"/>
      <c r="M84" s="6"/>
      <c r="N84" s="6"/>
      <c r="O84" s="6"/>
      <c r="P84" s="6"/>
    </row>
    <row r="85" spans="1:16" ht="15" customHeight="1">
      <c r="A85" s="6" t="s">
        <v>93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252"/>
      <c r="M85" s="6"/>
      <c r="N85" s="6"/>
      <c r="O85" s="6"/>
      <c r="P85" s="6"/>
    </row>
    <row r="86" spans="1:16" ht="15" customHeight="1">
      <c r="A86" s="7" t="s">
        <v>79</v>
      </c>
      <c r="B86" s="7"/>
      <c r="C86" s="7"/>
      <c r="D86" s="7"/>
      <c r="E86" s="7">
        <f t="shared" ref="E86:K86" si="72">E47</f>
        <v>2000</v>
      </c>
      <c r="F86" s="7">
        <f t="shared" si="72"/>
        <v>2000</v>
      </c>
      <c r="G86" s="7">
        <f t="shared" si="72"/>
        <v>2000</v>
      </c>
      <c r="H86" s="7">
        <f t="shared" si="72"/>
        <v>2000</v>
      </c>
      <c r="I86" s="7">
        <f t="shared" si="72"/>
        <v>2000</v>
      </c>
      <c r="J86" s="7">
        <f t="shared" si="72"/>
        <v>2000</v>
      </c>
      <c r="K86" s="7">
        <f t="shared" si="72"/>
        <v>2000</v>
      </c>
      <c r="L86" s="6"/>
      <c r="M86" s="6"/>
      <c r="N86" s="6"/>
      <c r="O86" s="6"/>
      <c r="P86" s="6"/>
    </row>
    <row r="87" spans="1:16" ht="15" customHeight="1">
      <c r="A87" s="7" t="s">
        <v>84</v>
      </c>
      <c r="B87" s="301"/>
      <c r="C87" s="301"/>
      <c r="D87" s="2"/>
      <c r="E87" s="7">
        <v>2000</v>
      </c>
      <c r="F87" s="7">
        <v>2000</v>
      </c>
      <c r="G87" s="7">
        <v>2000</v>
      </c>
      <c r="H87" s="7">
        <v>2000</v>
      </c>
      <c r="I87" s="7">
        <v>2000</v>
      </c>
      <c r="J87" s="7">
        <v>2000</v>
      </c>
      <c r="K87" s="7">
        <v>2000</v>
      </c>
      <c r="L87" s="6"/>
      <c r="M87" s="6"/>
      <c r="N87" s="6"/>
      <c r="O87" s="6"/>
      <c r="P87" s="6"/>
    </row>
    <row r="88" spans="1:16" ht="15" customHeight="1">
      <c r="A88" s="7" t="s">
        <v>86</v>
      </c>
      <c r="B88" s="8"/>
      <c r="C88" s="8"/>
      <c r="D88" s="7"/>
      <c r="E88" s="220">
        <f>(E86-E87)*VLOOKUP(E70,$S$38:$T$45,2)</f>
        <v>0</v>
      </c>
      <c r="F88" s="220">
        <f t="shared" ref="F88:K88" si="73">(F86-F87)*VLOOKUP(F70,$S$38:$T$45,2)</f>
        <v>0</v>
      </c>
      <c r="G88" s="220">
        <f t="shared" si="73"/>
        <v>0</v>
      </c>
      <c r="H88" s="220">
        <f t="shared" si="73"/>
        <v>0</v>
      </c>
      <c r="I88" s="220">
        <f t="shared" si="73"/>
        <v>0</v>
      </c>
      <c r="J88" s="220">
        <f t="shared" si="73"/>
        <v>0</v>
      </c>
      <c r="K88" s="220">
        <f t="shared" si="73"/>
        <v>0</v>
      </c>
      <c r="L88" s="6"/>
      <c r="N88" s="6"/>
      <c r="O88" s="6"/>
      <c r="P88" s="6"/>
    </row>
    <row r="89" spans="1:16" ht="15" customHeight="1">
      <c r="A89" s="7" t="s">
        <v>85</v>
      </c>
      <c r="B89" s="301"/>
      <c r="C89" s="8"/>
      <c r="D89" s="7"/>
      <c r="E89" s="7">
        <f>(E86-E87)*0.1</f>
        <v>0</v>
      </c>
      <c r="F89" s="7">
        <f t="shared" ref="F89:K89" si="74">(F86-F87)*0.1</f>
        <v>0</v>
      </c>
      <c r="G89" s="7">
        <f t="shared" si="74"/>
        <v>0</v>
      </c>
      <c r="H89" s="7">
        <f t="shared" si="74"/>
        <v>0</v>
      </c>
      <c r="I89" s="7">
        <f t="shared" si="74"/>
        <v>0</v>
      </c>
      <c r="J89" s="7">
        <f t="shared" si="74"/>
        <v>0</v>
      </c>
      <c r="K89" s="7">
        <f t="shared" si="74"/>
        <v>0</v>
      </c>
      <c r="L89" s="6"/>
      <c r="N89" s="6"/>
    </row>
    <row r="90" spans="1:16" ht="15" customHeight="1">
      <c r="A90" s="7" t="s">
        <v>87</v>
      </c>
      <c r="B90" s="301"/>
      <c r="C90" s="8"/>
      <c r="D90" s="7"/>
      <c r="E90" s="7">
        <f>(E86-E87)*E46</f>
        <v>0</v>
      </c>
      <c r="F90" s="7">
        <f t="shared" ref="F90:K90" si="75">(F47-F87)*F46</f>
        <v>0</v>
      </c>
      <c r="G90" s="7">
        <f t="shared" si="75"/>
        <v>0</v>
      </c>
      <c r="H90" s="7">
        <f t="shared" si="75"/>
        <v>0</v>
      </c>
      <c r="I90" s="7">
        <f t="shared" si="75"/>
        <v>0</v>
      </c>
      <c r="J90" s="7">
        <f t="shared" si="75"/>
        <v>0</v>
      </c>
      <c r="K90" s="7">
        <f t="shared" si="75"/>
        <v>0</v>
      </c>
      <c r="L90" s="6"/>
    </row>
    <row r="91" spans="1:16" ht="15" customHeight="1">
      <c r="A91" s="7" t="s">
        <v>92</v>
      </c>
      <c r="B91" s="311"/>
      <c r="C91" s="311"/>
      <c r="D91" s="7"/>
      <c r="E91" s="7">
        <f>SUM(E87:E90)</f>
        <v>2000</v>
      </c>
      <c r="F91" s="7">
        <f t="shared" ref="F91:K91" si="76">SUM(F87:F90)</f>
        <v>2000</v>
      </c>
      <c r="G91" s="7">
        <f t="shared" si="76"/>
        <v>2000</v>
      </c>
      <c r="H91" s="7">
        <f t="shared" si="76"/>
        <v>2000</v>
      </c>
      <c r="I91" s="7">
        <f t="shared" si="76"/>
        <v>2000</v>
      </c>
      <c r="J91" s="7">
        <f t="shared" si="76"/>
        <v>2000</v>
      </c>
      <c r="K91" s="7">
        <f t="shared" si="76"/>
        <v>2000</v>
      </c>
      <c r="L91" s="6"/>
    </row>
    <row r="92" spans="1:16" ht="15" customHeight="1">
      <c r="A92" s="6"/>
      <c r="B92" s="6"/>
      <c r="C92" s="6"/>
      <c r="D92" s="6"/>
      <c r="E92" s="88" t="str">
        <f t="shared" ref="E92:K92" si="77">IF(E91=E47,"ok","  ")</f>
        <v>ok</v>
      </c>
      <c r="F92" s="88" t="str">
        <f t="shared" si="77"/>
        <v>ok</v>
      </c>
      <c r="G92" s="88" t="str">
        <f t="shared" si="77"/>
        <v>ok</v>
      </c>
      <c r="H92" s="88" t="str">
        <f t="shared" si="77"/>
        <v>ok</v>
      </c>
      <c r="I92" s="88" t="str">
        <f t="shared" si="77"/>
        <v>ok</v>
      </c>
      <c r="J92" s="88" t="str">
        <f t="shared" si="77"/>
        <v>ok</v>
      </c>
      <c r="K92" s="88" t="str">
        <f t="shared" si="77"/>
        <v>ok</v>
      </c>
      <c r="L92" s="6"/>
    </row>
    <row r="93" spans="1:16" ht="1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6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</sheetData>
  <mergeCells count="21">
    <mergeCell ref="B91:C91"/>
    <mergeCell ref="O36:P36"/>
    <mergeCell ref="Q36:R36"/>
    <mergeCell ref="Q56:R56"/>
    <mergeCell ref="S56:T56"/>
    <mergeCell ref="B87:C87"/>
    <mergeCell ref="K4:L4"/>
    <mergeCell ref="V4:V5"/>
    <mergeCell ref="B89:B90"/>
    <mergeCell ref="W4:W5"/>
    <mergeCell ref="K5:L5"/>
    <mergeCell ref="K6:L6"/>
    <mergeCell ref="V6:V7"/>
    <mergeCell ref="W6:W7"/>
    <mergeCell ref="K7:L7"/>
    <mergeCell ref="A1:J2"/>
    <mergeCell ref="K2:L2"/>
    <mergeCell ref="V2:W3"/>
    <mergeCell ref="AB2:AC2"/>
    <mergeCell ref="AD2:AE2"/>
    <mergeCell ref="K3:L3"/>
  </mergeCells>
  <phoneticPr fontId="1"/>
  <pageMargins left="0.59055118110236227" right="0.59055118110236227" top="0.39370078740157483" bottom="0.39370078740157483" header="0.31496062992125984" footer="0.27559055118110237"/>
  <pageSetup paperSize="9" scale="43" orientation="landscape" r:id="rId1"/>
  <headerFooter alignWithMargins="0"/>
  <rowBreaks count="1" manualBreakCount="1">
    <brk id="40" max="19" man="1"/>
  </rowBreaks>
  <colBreaks count="1" manualBreakCount="1">
    <brk id="7" max="8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Normal="100" zoomScaleSheetLayoutView="100" workbookViewId="0">
      <selection activeCell="D7" sqref="D7"/>
    </sheetView>
  </sheetViews>
  <sheetFormatPr defaultColWidth="8.875" defaultRowHeight="13.5"/>
  <cols>
    <col min="1" max="2" width="2.875" style="175" customWidth="1"/>
    <col min="3" max="3" width="25.5" style="175" customWidth="1"/>
    <col min="4" max="4" width="11.625" style="175" customWidth="1"/>
    <col min="5" max="5" width="4.5" style="179" customWidth="1"/>
    <col min="6" max="9" width="8.875" style="175"/>
    <col min="10" max="10" width="1.5" style="175" customWidth="1"/>
    <col min="11" max="16384" width="8.875" style="175"/>
  </cols>
  <sheetData>
    <row r="1" spans="1:9" ht="13.15" customHeight="1">
      <c r="A1" s="187"/>
      <c r="B1" s="188"/>
      <c r="C1" s="188"/>
      <c r="D1" s="188"/>
      <c r="E1" s="188"/>
      <c r="F1" s="188"/>
      <c r="G1" s="188"/>
      <c r="H1" s="188"/>
      <c r="I1" s="188"/>
    </row>
    <row r="2" spans="1:9" ht="28.9" customHeight="1">
      <c r="A2" s="188"/>
      <c r="B2" s="322" t="s">
        <v>116</v>
      </c>
      <c r="C2" s="323"/>
      <c r="D2" s="323"/>
      <c r="E2" s="323"/>
      <c r="F2" s="323"/>
      <c r="G2" s="323"/>
      <c r="H2" s="323"/>
      <c r="I2" s="324"/>
    </row>
    <row r="3" spans="1:9" ht="7.15" customHeight="1">
      <c r="A3" s="183"/>
      <c r="B3" s="183"/>
      <c r="C3" s="183"/>
      <c r="D3" s="183"/>
      <c r="E3" s="183"/>
    </row>
    <row r="4" spans="1:9" ht="24" customHeight="1">
      <c r="A4" s="195" t="s">
        <v>117</v>
      </c>
      <c r="B4" s="183"/>
      <c r="C4" s="183"/>
      <c r="D4" s="183"/>
      <c r="E4" s="183"/>
    </row>
    <row r="5" spans="1:9">
      <c r="A5" s="183"/>
      <c r="B5" s="183"/>
      <c r="C5" s="183"/>
      <c r="D5" s="183"/>
      <c r="E5" s="183"/>
    </row>
    <row r="6" spans="1:9" ht="17.45" customHeight="1">
      <c r="A6" s="175" t="s">
        <v>115</v>
      </c>
    </row>
    <row r="7" spans="1:9" ht="19.899999999999999" customHeight="1">
      <c r="B7" s="318" t="s">
        <v>103</v>
      </c>
      <c r="C7" s="319"/>
      <c r="D7" s="199"/>
      <c r="E7" s="182" t="s">
        <v>104</v>
      </c>
    </row>
    <row r="8" spans="1:9" ht="17.45" customHeight="1">
      <c r="B8" s="191" t="s">
        <v>113</v>
      </c>
      <c r="C8" s="180"/>
      <c r="D8" s="181"/>
      <c r="E8" s="180"/>
    </row>
    <row r="9" spans="1:9" ht="9" customHeight="1">
      <c r="B9" s="180"/>
      <c r="C9" s="180"/>
      <c r="D9" s="181"/>
      <c r="E9" s="180"/>
    </row>
    <row r="10" spans="1:9" ht="17.45" customHeight="1">
      <c r="A10" s="175" t="s">
        <v>105</v>
      </c>
    </row>
    <row r="11" spans="1:9" ht="19.899999999999999" customHeight="1">
      <c r="B11" s="328" t="s">
        <v>119</v>
      </c>
      <c r="C11" s="329"/>
      <c r="D11" s="329"/>
      <c r="E11" s="330"/>
    </row>
    <row r="12" spans="1:9" ht="19.899999999999999" customHeight="1">
      <c r="B12" s="326"/>
      <c r="C12" s="197" t="s">
        <v>120</v>
      </c>
      <c r="D12" s="200"/>
      <c r="E12" s="196" t="s">
        <v>4</v>
      </c>
    </row>
    <row r="13" spans="1:9" ht="19.899999999999999" customHeight="1">
      <c r="B13" s="327"/>
      <c r="C13" s="198" t="s">
        <v>121</v>
      </c>
      <c r="D13" s="200"/>
      <c r="E13" s="196" t="s">
        <v>4</v>
      </c>
    </row>
    <row r="14" spans="1:9" ht="19.899999999999999" customHeight="1">
      <c r="B14" s="328" t="s">
        <v>7</v>
      </c>
      <c r="C14" s="329"/>
      <c r="D14" s="329"/>
      <c r="E14" s="330"/>
    </row>
    <row r="15" spans="1:9" ht="19.899999999999999" customHeight="1">
      <c r="B15" s="177"/>
      <c r="C15" s="176" t="s">
        <v>108</v>
      </c>
      <c r="D15" s="199"/>
      <c r="E15" s="182" t="s">
        <v>4</v>
      </c>
    </row>
    <row r="16" spans="1:9" ht="19.899999999999999" customHeight="1">
      <c r="B16" s="177"/>
      <c r="C16" s="176" t="s">
        <v>109</v>
      </c>
      <c r="D16" s="199"/>
      <c r="E16" s="182" t="s">
        <v>4</v>
      </c>
    </row>
    <row r="17" spans="1:10" ht="19.899999999999999" customHeight="1">
      <c r="B17" s="177"/>
      <c r="C17" s="176" t="s">
        <v>110</v>
      </c>
      <c r="D17" s="199"/>
      <c r="E17" s="182" t="s">
        <v>4</v>
      </c>
    </row>
    <row r="18" spans="1:10" ht="19.899999999999999" customHeight="1">
      <c r="B18" s="178"/>
      <c r="C18" s="176" t="s">
        <v>101</v>
      </c>
      <c r="D18" s="199"/>
      <c r="E18" s="182" t="s">
        <v>4</v>
      </c>
    </row>
    <row r="19" spans="1:10" ht="12" customHeight="1">
      <c r="B19" s="181"/>
      <c r="C19" s="181"/>
      <c r="D19" s="181"/>
      <c r="E19" s="180"/>
    </row>
    <row r="20" spans="1:10" ht="17.45" customHeight="1">
      <c r="A20" s="175" t="s">
        <v>106</v>
      </c>
      <c r="E20" s="180"/>
    </row>
    <row r="21" spans="1:10" ht="23.45" customHeight="1">
      <c r="B21" s="318" t="s">
        <v>102</v>
      </c>
      <c r="C21" s="319"/>
      <c r="D21" s="199"/>
      <c r="E21" s="182" t="s">
        <v>104</v>
      </c>
    </row>
    <row r="22" spans="1:10" ht="17.45" customHeight="1">
      <c r="B22" s="180"/>
      <c r="C22" s="180"/>
      <c r="D22" s="181"/>
      <c r="E22" s="180"/>
    </row>
    <row r="23" spans="1:10" ht="31.15" customHeight="1">
      <c r="B23" s="180"/>
      <c r="C23" s="180"/>
      <c r="D23" s="181"/>
      <c r="E23" s="180"/>
    </row>
    <row r="24" spans="1:10" ht="17.45" customHeight="1" thickBot="1">
      <c r="B24" s="180"/>
      <c r="C24" s="180"/>
      <c r="D24" s="181"/>
      <c r="E24" s="180"/>
    </row>
    <row r="25" spans="1:10" ht="45" customHeight="1" thickTop="1" thickBot="1">
      <c r="B25" s="320" t="s">
        <v>107</v>
      </c>
      <c r="C25" s="321"/>
      <c r="D25" s="189">
        <f>計算欄!K44</f>
        <v>0</v>
      </c>
      <c r="E25" s="190" t="s">
        <v>104</v>
      </c>
      <c r="F25" s="184"/>
      <c r="G25" s="184"/>
    </row>
    <row r="26" spans="1:10" ht="8.4499999999999993" customHeight="1" thickTop="1">
      <c r="B26" s="184"/>
      <c r="C26" s="184"/>
      <c r="D26" s="184"/>
      <c r="E26" s="185"/>
      <c r="F26" s="184"/>
      <c r="G26" s="184"/>
    </row>
    <row r="27" spans="1:10" ht="28.15" customHeight="1">
      <c r="B27" s="184"/>
      <c r="C27" s="192" t="s">
        <v>111</v>
      </c>
      <c r="D27" s="193">
        <f>D21-D25</f>
        <v>0</v>
      </c>
      <c r="E27" s="194" t="s">
        <v>112</v>
      </c>
      <c r="F27" s="185" t="s">
        <v>114</v>
      </c>
      <c r="G27" s="184"/>
    </row>
    <row r="28" spans="1:10" ht="10.9" customHeight="1">
      <c r="B28" s="184"/>
      <c r="C28" s="186"/>
      <c r="D28" s="184"/>
      <c r="E28" s="185"/>
      <c r="F28" s="184"/>
      <c r="G28" s="184"/>
    </row>
    <row r="29" spans="1:10" ht="28.15" customHeight="1">
      <c r="A29" s="325" t="s">
        <v>118</v>
      </c>
      <c r="B29" s="325"/>
      <c r="C29" s="325"/>
      <c r="D29" s="325"/>
      <c r="E29" s="325"/>
      <c r="F29" s="325"/>
      <c r="G29" s="325"/>
      <c r="H29" s="325"/>
      <c r="I29" s="325"/>
      <c r="J29" s="325"/>
    </row>
  </sheetData>
  <sheetProtection password="C4CC" sheet="1" objects="1" scenarios="1"/>
  <mergeCells count="8">
    <mergeCell ref="B7:C7"/>
    <mergeCell ref="B21:C21"/>
    <mergeCell ref="B25:C25"/>
    <mergeCell ref="B2:I2"/>
    <mergeCell ref="A29:J29"/>
    <mergeCell ref="B12:B13"/>
    <mergeCell ref="B11:E11"/>
    <mergeCell ref="B14:E1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:E11"/>
    </sheetView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計算欄</vt:lpstr>
      <vt:lpstr>入力欄</vt:lpstr>
      <vt:lpstr>Sheet1</vt:lpstr>
      <vt:lpstr>計算欄!Print_Area</vt:lpstr>
      <vt:lpstr>入力欄!Print_Area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2015-05-15T05:38:09Z</dcterms:modified>
</cp:coreProperties>
</file>